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drawings/drawing4.xml" ContentType="application/vnd.openxmlformats-officedocument.drawing+xml"/>
  <Override PartName="/xl/ctrlProps/ctrlProp1.xml" ContentType="application/vnd.ms-excel.controlproperties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ugn\Downloads\"/>
    </mc:Choice>
  </mc:AlternateContent>
  <xr:revisionPtr revIDLastSave="0" documentId="8_{D82D5FDC-9B78-45A9-B0E7-E8B4977929A6}" xr6:coauthVersionLast="47" xr6:coauthVersionMax="47" xr10:uidLastSave="{00000000-0000-0000-0000-000000000000}"/>
  <bookViews>
    <workbookView xWindow="-96" yWindow="-96" windowWidth="18192" windowHeight="11472" tabRatio="828" xr2:uid="{CB28D073-48C1-453E-BD4F-E86F973DEDE3}"/>
  </bookViews>
  <sheets>
    <sheet name="Contents" sheetId="9" r:id="rId1"/>
    <sheet name="Lists" sheetId="4" r:id="rId2"/>
    <sheet name="Improvements" sheetId="11" r:id="rId3"/>
    <sheet name="Training programme data entry" sheetId="3" r:id="rId4"/>
    <sheet name="Training programme data table" sheetId="2" r:id="rId5"/>
    <sheet name="Business profitability model" sheetId="1" r:id="rId6"/>
    <sheet name="Lifetime earnings model" sheetId="6" r:id="rId7"/>
    <sheet name="Delivery cost model" sheetId="5" r:id="rId8"/>
    <sheet name="Outcome weighting" sheetId="10" r:id="rId9"/>
    <sheet name="Dashboard chart data" sheetId="12" r:id="rId10"/>
    <sheet name="Training programme dashboard" sheetId="7" r:id="rId11"/>
    <sheet name="Investment portfolio" sheetId="8" r:id="rId12"/>
  </sheets>
  <definedNames>
    <definedName name="_xlnm._FilterDatabase" localSheetId="11" hidden="1">'Investment portfolio'!$B$2:$H$41</definedName>
    <definedName name="capability_areas">Lists!$A$4:$A$5</definedName>
    <definedName name="completion_proportions">Lists!$A$102:$A$105</definedName>
    <definedName name="credit_ratio">'Lifetime earnings model'!$B$11</definedName>
    <definedName name="delivery_modes">Lists!$A$95:$A$99</definedName>
    <definedName name="delivery_quality">Lists!$A$131:$A$134</definedName>
    <definedName name="duration_exponent">'Business profitability model'!$B$218</definedName>
    <definedName name="ID_of_data_to_update">'Training programme data entry'!$A$136</definedName>
    <definedName name="industries">Lists!$A$14:$A$28</definedName>
    <definedName name="industry_experience">Lists!$A$88:$A$92</definedName>
    <definedName name="multiplier_for_training">'Business profitability model'!$B$187</definedName>
    <definedName name="nzqf_levels">Lists!$A$31:$A$41</definedName>
    <definedName name="NZSCED_code">Lists!$B$44:$B$77</definedName>
    <definedName name="NZSCED_label">Lists!$A$44:$A$77</definedName>
    <definedName name="output_range_mid">Lists!$C$137:$C$181</definedName>
    <definedName name="output_range_range">Lists!$D$137:$D$181</definedName>
    <definedName name="prior_training">Lists!$A$108:$A$128</definedName>
    <definedName name="Programme_type">Lists!$A$80:$A$85</definedName>
    <definedName name="proportion_due_to_causality">'Lifetime earnings model'!#REF!</definedName>
    <definedName name="reference_training_programme_duration">'Business profitability model'!$B$217</definedName>
    <definedName name="roles">Lists!$A$8:$A$11</definedName>
    <definedName name="rows_to_paste">'Training programme data table'!$A$5:$A$45</definedName>
    <definedName name="sd_of_innate_ability">'Business profitability model'!$B$159</definedName>
    <definedName name="training_programme_data_table">'Training programme data table'!$A$5:$CC$45</definedName>
    <definedName name="training_programme_list">'Training programme data table'!$B$5:$B$42</definedName>
    <definedName name="updates_to_copy_to_database">'Training programme data entry'!$A$136:$CC$136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" i="6" l="1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51" i="6"/>
  <c r="E16" i="6"/>
  <c r="E9" i="6"/>
  <c r="E10" i="6"/>
  <c r="E11" i="6"/>
  <c r="E12" i="6"/>
  <c r="E13" i="6"/>
  <c r="E14" i="6"/>
  <c r="E15" i="6"/>
  <c r="E17" i="6"/>
  <c r="E18" i="6"/>
  <c r="E19" i="6"/>
  <c r="E20" i="6"/>
  <c r="E21" i="6"/>
  <c r="E8" i="6"/>
  <c r="B496" i="1" l="1" a="1"/>
  <c r="B496" i="1" s="1"/>
  <c r="A290" i="1" a="1"/>
  <c r="A290" i="1" s="1"/>
  <c r="B493" i="1" a="1"/>
  <c r="B493" i="1" s="1"/>
  <c r="B254" i="1" a="1"/>
  <c r="B254" i="1" s="1"/>
  <c r="I310" i="1" l="1"/>
  <c r="G41" i="8"/>
  <c r="C138" i="4" l="1"/>
  <c r="C142" i="4" s="1"/>
  <c r="C146" i="4" s="1"/>
  <c r="C150" i="4" s="1"/>
  <c r="C154" i="4" s="1"/>
  <c r="C158" i="4" s="1"/>
  <c r="C162" i="4" s="1"/>
  <c r="C166" i="4" s="1"/>
  <c r="C170" i="4" s="1"/>
  <c r="C174" i="4" s="1"/>
  <c r="C178" i="4" s="1"/>
  <c r="S6" i="12" a="1"/>
  <c r="K39" i="12"/>
  <c r="K40" i="12"/>
  <c r="K41" i="12"/>
  <c r="K42" i="12"/>
  <c r="K43" i="12"/>
  <c r="K38" i="12"/>
  <c r="K5" i="12" a="1"/>
  <c r="A86" i="6" a="1"/>
  <c r="A86" i="6" s="1"/>
  <c r="H5" i="12" a="1"/>
  <c r="A71" i="3" a="1"/>
  <c r="A71" i="3" s="1"/>
  <c r="E5" i="12" a="1"/>
  <c r="B5" i="12" a="1"/>
  <c r="I6" i="5"/>
  <c r="J6" i="5"/>
  <c r="K6" i="5"/>
  <c r="L6" i="5"/>
  <c r="M6" i="5"/>
  <c r="I7" i="5"/>
  <c r="J7" i="5"/>
  <c r="K7" i="5"/>
  <c r="L7" i="5"/>
  <c r="M7" i="5"/>
  <c r="I8" i="5"/>
  <c r="J8" i="5"/>
  <c r="K8" i="5"/>
  <c r="L8" i="5"/>
  <c r="M8" i="5"/>
  <c r="I9" i="5"/>
  <c r="J9" i="5"/>
  <c r="K9" i="5"/>
  <c r="L9" i="5"/>
  <c r="M9" i="5"/>
  <c r="I10" i="5"/>
  <c r="J10" i="5"/>
  <c r="K10" i="5"/>
  <c r="L10" i="5"/>
  <c r="M10" i="5"/>
  <c r="H7" i="5"/>
  <c r="H8" i="5"/>
  <c r="H9" i="5"/>
  <c r="H10" i="5"/>
  <c r="H6" i="5"/>
  <c r="C7" i="5"/>
  <c r="C8" i="5"/>
  <c r="C9" i="5"/>
  <c r="C10" i="5"/>
  <c r="C6" i="5"/>
  <c r="B7" i="10"/>
  <c r="A7" i="10"/>
  <c r="A20" i="5"/>
  <c r="A19" i="5"/>
  <c r="A18" i="5"/>
  <c r="A17" i="5"/>
  <c r="E5" i="3"/>
  <c r="A24" i="5"/>
  <c r="A23" i="5"/>
  <c r="A31" i="5" a="1"/>
  <c r="A31" i="5" s="1"/>
  <c r="A6" i="5" a="1"/>
  <c r="A6" i="5" s="1"/>
  <c r="M75" i="6"/>
  <c r="B75" i="6" a="1"/>
  <c r="B75" i="6" s="1"/>
  <c r="B30" i="6" a="1"/>
  <c r="B30" i="6" s="1"/>
  <c r="A32" i="6"/>
  <c r="A93" i="6" s="1"/>
  <c r="A33" i="6"/>
  <c r="A94" i="6" s="1"/>
  <c r="A34" i="6"/>
  <c r="A95" i="6" s="1"/>
  <c r="A35" i="6"/>
  <c r="A96" i="6" s="1"/>
  <c r="A36" i="6"/>
  <c r="A97" i="6" s="1"/>
  <c r="A37" i="6"/>
  <c r="A98" i="6" s="1"/>
  <c r="A38" i="6"/>
  <c r="A99" i="6" s="1"/>
  <c r="A39" i="6"/>
  <c r="A101" i="6" s="1"/>
  <c r="A40" i="6"/>
  <c r="A102" i="6" s="1"/>
  <c r="A41" i="6"/>
  <c r="A103" i="6" s="1"/>
  <c r="A42" i="6"/>
  <c r="A104" i="6" s="1"/>
  <c r="A43" i="6"/>
  <c r="A105" i="6" s="1"/>
  <c r="A31" i="6"/>
  <c r="A92" i="6" s="1"/>
  <c r="K313" i="1"/>
  <c r="J312" i="1"/>
  <c r="J313" i="1" s="1"/>
  <c r="H311" i="1"/>
  <c r="I311" i="1" s="1"/>
  <c r="G310" i="1"/>
  <c r="G311" i="1" s="1"/>
  <c r="G312" i="1" s="1"/>
  <c r="G313" i="1" s="1"/>
  <c r="F309" i="1"/>
  <c r="F310" i="1" s="1"/>
  <c r="F311" i="1" s="1"/>
  <c r="F312" i="1" s="1"/>
  <c r="F313" i="1" s="1"/>
  <c r="E308" i="1"/>
  <c r="E309" i="1" s="1"/>
  <c r="E310" i="1" s="1"/>
  <c r="E311" i="1" s="1"/>
  <c r="E312" i="1" s="1"/>
  <c r="E313" i="1" s="1"/>
  <c r="D307" i="1"/>
  <c r="D308" i="1" s="1"/>
  <c r="D309" i="1" s="1"/>
  <c r="D310" i="1" s="1"/>
  <c r="D311" i="1" s="1"/>
  <c r="D312" i="1" s="1"/>
  <c r="D313" i="1" s="1"/>
  <c r="C306" i="1"/>
  <c r="C307" i="1" s="1"/>
  <c r="C308" i="1" s="1"/>
  <c r="C309" i="1" s="1"/>
  <c r="C310" i="1" s="1"/>
  <c r="C311" i="1" s="1"/>
  <c r="C312" i="1" s="1"/>
  <c r="C313" i="1" s="1"/>
  <c r="L312" i="1"/>
  <c r="K311" i="1"/>
  <c r="L311" i="1" s="1"/>
  <c r="J310" i="1"/>
  <c r="K310" i="1" s="1"/>
  <c r="L310" i="1" s="1"/>
  <c r="H309" i="1"/>
  <c r="G308" i="1"/>
  <c r="H308" i="1" s="1"/>
  <c r="F307" i="1"/>
  <c r="G307" i="1" s="1"/>
  <c r="H307" i="1" s="1"/>
  <c r="E306" i="1"/>
  <c r="F306" i="1" s="1"/>
  <c r="G306" i="1" s="1"/>
  <c r="H306" i="1" s="1"/>
  <c r="D305" i="1"/>
  <c r="E305" i="1" s="1"/>
  <c r="F305" i="1" s="1"/>
  <c r="G305" i="1" s="1"/>
  <c r="H305" i="1" s="1"/>
  <c r="B314" i="1"/>
  <c r="C315" i="1" s="1"/>
  <c r="C316" i="1" s="1"/>
  <c r="C317" i="1" s="1"/>
  <c r="C318" i="1" s="1"/>
  <c r="C319" i="1" s="1"/>
  <c r="C320" i="1" s="1"/>
  <c r="C321" i="1" s="1"/>
  <c r="C322" i="1" s="1"/>
  <c r="C323" i="1" s="1"/>
  <c r="B304" i="1"/>
  <c r="C304" i="1" s="1"/>
  <c r="D304" i="1" s="1"/>
  <c r="E304" i="1" s="1"/>
  <c r="F304" i="1" s="1"/>
  <c r="G304" i="1" s="1"/>
  <c r="H304" i="1" s="1"/>
  <c r="B303" i="1"/>
  <c r="C303" i="1"/>
  <c r="D303" i="1" s="1"/>
  <c r="E303" i="1" s="1"/>
  <c r="F303" i="1" s="1"/>
  <c r="G303" i="1" s="1"/>
  <c r="H303" i="1" s="1"/>
  <c r="B302" i="1" a="1"/>
  <c r="B302" i="1" s="1"/>
  <c r="A303" i="1" a="1"/>
  <c r="D25" i="3"/>
  <c r="D61" i="3"/>
  <c r="D68" i="3"/>
  <c r="D76" i="3"/>
  <c r="D100" i="3"/>
  <c r="A79" i="3" a="1"/>
  <c r="B134" i="3"/>
  <c r="C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AP134" i="3"/>
  <c r="AQ134" i="3"/>
  <c r="AR134" i="3"/>
  <c r="AS134" i="3"/>
  <c r="AT134" i="3"/>
  <c r="AU134" i="3"/>
  <c r="BN134" i="3"/>
  <c r="BO134" i="3"/>
  <c r="B135" i="3"/>
  <c r="C135" i="3"/>
  <c r="E135" i="3"/>
  <c r="F135" i="3"/>
  <c r="G135" i="3"/>
  <c r="H135" i="3"/>
  <c r="V135" i="3"/>
  <c r="A135" i="3"/>
  <c r="A134" i="3"/>
  <c r="B6" i="3"/>
  <c r="B5" i="3"/>
  <c r="A283" i="1" a="1"/>
  <c r="A276" i="1" a="1"/>
  <c r="A268" i="1" a="1"/>
  <c r="A255" i="1" a="1"/>
  <c r="A246" i="1" a="1"/>
  <c r="B11" i="3"/>
  <c r="B12" i="3"/>
  <c r="B13" i="3"/>
  <c r="C13" i="3" s="1" a="1"/>
  <c r="C13" i="3" s="1"/>
  <c r="B10" i="3"/>
  <c r="C10" i="3" s="1" a="1"/>
  <c r="C10" i="3" s="1"/>
  <c r="B18" i="5" s="1"/>
  <c r="C143" i="4"/>
  <c r="C147" i="4" s="1"/>
  <c r="C151" i="4" s="1"/>
  <c r="C155" i="4" s="1"/>
  <c r="C159" i="4" s="1"/>
  <c r="C163" i="4" s="1"/>
  <c r="C167" i="4" s="1"/>
  <c r="C171" i="4" s="1"/>
  <c r="C175" i="4" s="1"/>
  <c r="C179" i="4" s="1"/>
  <c r="C144" i="4"/>
  <c r="C148" i="4" s="1"/>
  <c r="C152" i="4" s="1"/>
  <c r="C156" i="4" s="1"/>
  <c r="C160" i="4" s="1"/>
  <c r="C164" i="4" s="1"/>
  <c r="C168" i="4" s="1"/>
  <c r="C172" i="4" s="1"/>
  <c r="C176" i="4" s="1"/>
  <c r="C180" i="4" s="1"/>
  <c r="C141" i="4"/>
  <c r="D138" i="4"/>
  <c r="D139" i="4"/>
  <c r="D137" i="4"/>
  <c r="B143" i="4"/>
  <c r="B144" i="4"/>
  <c r="B148" i="4" s="1"/>
  <c r="B152" i="4" s="1"/>
  <c r="B145" i="4"/>
  <c r="B142" i="4"/>
  <c r="B136" i="3"/>
  <c r="A136" i="3" s="1"/>
  <c r="R4" i="2" a="1"/>
  <c r="A35" i="3" a="1"/>
  <c r="AU4" i="2" a="1"/>
  <c r="AP4" i="2" a="1"/>
  <c r="D39" i="3"/>
  <c r="D32" i="3"/>
  <c r="A20" i="3" a="1"/>
  <c r="AL4" i="2" a="1"/>
  <c r="W4" i="2" a="1"/>
  <c r="N4" i="2" a="1"/>
  <c r="I4" i="2" a="1"/>
  <c r="A518" i="1" a="1"/>
  <c r="C510" i="1" a="1"/>
  <c r="C510" i="1" s="1"/>
  <c r="A511" i="1" a="1"/>
  <c r="A511" i="1" s="1"/>
  <c r="A489" i="1" a="1"/>
  <c r="A489" i="1" s="1"/>
  <c r="B486" i="1"/>
  <c r="A483" i="1" a="1"/>
  <c r="A483" i="1" s="1"/>
  <c r="A28" i="3" a="1"/>
  <c r="A28" i="3" s="1"/>
  <c r="C86" i="1"/>
  <c r="C85" i="1"/>
  <c r="C87" i="1"/>
  <c r="C88" i="1"/>
  <c r="C89" i="1"/>
  <c r="C90" i="1"/>
  <c r="C91" i="1"/>
  <c r="C92" i="1"/>
  <c r="C93" i="1"/>
  <c r="C94" i="1"/>
  <c r="C95" i="1"/>
  <c r="C96" i="1"/>
  <c r="C97" i="1"/>
  <c r="C98" i="1"/>
  <c r="C84" i="1"/>
  <c r="A46" i="3" a="1"/>
  <c r="A473" i="1" a="1"/>
  <c r="A64" i="3" a="1"/>
  <c r="A64" i="3" s="1"/>
  <c r="A112" i="1" a="1"/>
  <c r="A35" i="1" a="1"/>
  <c r="A26" i="1" a="1"/>
  <c r="A84" i="1" a="1"/>
  <c r="B418" i="1"/>
  <c r="B419" i="1" s="1"/>
  <c r="B415" i="1"/>
  <c r="B416" i="1" s="1"/>
  <c r="B412" i="1"/>
  <c r="C409" i="1"/>
  <c r="B410" i="1"/>
  <c r="A409" i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B431" i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26" i="1"/>
  <c r="B427" i="1" s="1"/>
  <c r="B428" i="1" s="1"/>
  <c r="B429" i="1" s="1"/>
  <c r="B423" i="1"/>
  <c r="B424" i="1" s="1"/>
  <c r="B421" i="1"/>
  <c r="C420" i="1"/>
  <c r="A420" i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F218" i="1"/>
  <c r="B131" i="1"/>
  <c r="B111" i="1" a="1"/>
  <c r="B111" i="1" s="1"/>
  <c r="A107" i="1" a="1"/>
  <c r="A107" i="1" s="1"/>
  <c r="A65" i="1" a="1"/>
  <c r="A65" i="1" s="1"/>
  <c r="F57" i="1"/>
  <c r="F56" i="1"/>
  <c r="A56" i="1" a="1"/>
  <c r="A56" i="1" s="1"/>
  <c r="A52" i="1" a="1"/>
  <c r="A52" i="1" s="1"/>
  <c r="A61" i="1" a="1"/>
  <c r="A61" i="1" s="1"/>
  <c r="A43" i="1" a="1"/>
  <c r="B48" i="1" a="1"/>
  <c r="B42" i="1" a="1"/>
  <c r="B42" i="1" s="1"/>
  <c r="D39" i="1"/>
  <c r="B39" i="1"/>
  <c r="B7" i="1"/>
  <c r="B31" i="1"/>
  <c r="H312" i="1" l="1"/>
  <c r="H313" i="1" s="1"/>
  <c r="I313" i="1" s="1"/>
  <c r="B413" i="1"/>
  <c r="B305" i="1"/>
  <c r="B306" i="1" s="1"/>
  <c r="J303" i="1"/>
  <c r="K303" i="1" s="1"/>
  <c r="L303" i="1" s="1"/>
  <c r="I303" i="1"/>
  <c r="J304" i="1"/>
  <c r="K304" i="1" s="1"/>
  <c r="L304" i="1" s="1"/>
  <c r="I304" i="1"/>
  <c r="J305" i="1"/>
  <c r="K305" i="1" s="1"/>
  <c r="L305" i="1" s="1"/>
  <c r="I305" i="1"/>
  <c r="J306" i="1"/>
  <c r="K306" i="1" s="1"/>
  <c r="L306" i="1" s="1"/>
  <c r="I306" i="1"/>
  <c r="J307" i="1"/>
  <c r="K307" i="1" s="1"/>
  <c r="L307" i="1" s="1"/>
  <c r="I307" i="1"/>
  <c r="J308" i="1"/>
  <c r="K308" i="1" s="1"/>
  <c r="L308" i="1" s="1"/>
  <c r="I308" i="1"/>
  <c r="J309" i="1"/>
  <c r="K309" i="1" s="1"/>
  <c r="L309" i="1" s="1"/>
  <c r="I309" i="1"/>
  <c r="T29" i="12" a="1"/>
  <c r="T29" i="12" s="1"/>
  <c r="T41" i="12" a="1"/>
  <c r="T41" i="12" s="1"/>
  <c r="T42" i="12" a="1"/>
  <c r="T42" i="12" s="1"/>
  <c r="T7" i="12" a="1"/>
  <c r="T7" i="12" s="1"/>
  <c r="T18" i="12" a="1"/>
  <c r="T18" i="12" s="1"/>
  <c r="T30" i="12" a="1"/>
  <c r="T30" i="12" s="1"/>
  <c r="T8" i="12" a="1"/>
  <c r="T8" i="12" s="1"/>
  <c r="T19" i="12" a="1"/>
  <c r="T19" i="12" s="1"/>
  <c r="T31" i="12" a="1"/>
  <c r="T31" i="12" s="1"/>
  <c r="T43" i="12" a="1"/>
  <c r="T43" i="12" s="1"/>
  <c r="T27" i="12" a="1"/>
  <c r="T27" i="12" s="1"/>
  <c r="T9" i="12" a="1"/>
  <c r="T9" i="12" s="1"/>
  <c r="T20" i="12" a="1"/>
  <c r="T20" i="12" s="1"/>
  <c r="T32" i="12" a="1"/>
  <c r="T32" i="12" s="1"/>
  <c r="T10" i="12" a="1"/>
  <c r="T10" i="12" s="1"/>
  <c r="T21" i="12" a="1"/>
  <c r="T21" i="12" s="1"/>
  <c r="T33" i="12" a="1"/>
  <c r="T33" i="12" s="1"/>
  <c r="T26" i="12" a="1"/>
  <c r="T26" i="12" s="1"/>
  <c r="T39" i="12" a="1"/>
  <c r="T39" i="12" s="1"/>
  <c r="T11" i="12" a="1"/>
  <c r="T11" i="12" s="1"/>
  <c r="T22" i="12" a="1"/>
  <c r="T22" i="12" s="1"/>
  <c r="T34" i="12" a="1"/>
  <c r="T34" i="12" s="1"/>
  <c r="T12" i="12" a="1"/>
  <c r="T12" i="12" s="1"/>
  <c r="T23" i="12" a="1"/>
  <c r="T23" i="12" s="1"/>
  <c r="T35" i="12" a="1"/>
  <c r="T35" i="12" s="1"/>
  <c r="T16" i="12" a="1"/>
  <c r="T16" i="12" s="1"/>
  <c r="T40" i="12" a="1"/>
  <c r="T40" i="12" s="1"/>
  <c r="T13" i="12" a="1"/>
  <c r="T13" i="12" s="1"/>
  <c r="T24" i="12" a="1"/>
  <c r="T24" i="12" s="1"/>
  <c r="T36" i="12" a="1"/>
  <c r="T36" i="12" s="1"/>
  <c r="T38" i="12" a="1"/>
  <c r="T38" i="12" s="1"/>
  <c r="T17" i="12" a="1"/>
  <c r="T17" i="12" s="1"/>
  <c r="T14" i="12" a="1"/>
  <c r="T14" i="12" s="1"/>
  <c r="T25" i="12" a="1"/>
  <c r="T25" i="12" s="1"/>
  <c r="T37" i="12" a="1"/>
  <c r="T37" i="12" s="1"/>
  <c r="T15" i="12" a="1"/>
  <c r="T15" i="12" s="1"/>
  <c r="T28" i="12" a="1"/>
  <c r="T28" i="12" s="1"/>
  <c r="C145" i="4"/>
  <c r="S6" i="12"/>
  <c r="T6" i="12" s="1" a="1"/>
  <c r="T6" i="12" s="1"/>
  <c r="M5" i="7" a="1"/>
  <c r="M5" i="7" s="1"/>
  <c r="C6" i="3" a="1"/>
  <c r="C6" i="3" s="1"/>
  <c r="E6" i="3" s="1"/>
  <c r="C136" i="3" s="1"/>
  <c r="C12" i="3" a="1"/>
  <c r="C12" i="3" s="1"/>
  <c r="M8" i="7" a="1"/>
  <c r="M8" i="7" s="1"/>
  <c r="C11" i="3" a="1"/>
  <c r="C11" i="3" s="1"/>
  <c r="E11" i="3" s="1"/>
  <c r="M7" i="7" a="1"/>
  <c r="M7" i="7" s="1"/>
  <c r="K5" i="12"/>
  <c r="H5" i="12"/>
  <c r="E5" i="12"/>
  <c r="B5" i="12"/>
  <c r="BN135" i="3"/>
  <c r="BO135" i="3"/>
  <c r="AV135" i="3"/>
  <c r="AW135" i="3"/>
  <c r="AX135" i="3"/>
  <c r="AZ135" i="3"/>
  <c r="BA135" i="3"/>
  <c r="BB135" i="3"/>
  <c r="BC135" i="3"/>
  <c r="BD135" i="3"/>
  <c r="BF135" i="3"/>
  <c r="BG135" i="3"/>
  <c r="BI135" i="3"/>
  <c r="BJ135" i="3"/>
  <c r="BL135" i="3"/>
  <c r="BM135" i="3"/>
  <c r="AY135" i="3"/>
  <c r="BE135" i="3"/>
  <c r="BH135" i="3"/>
  <c r="BK135" i="3"/>
  <c r="A20" i="3"/>
  <c r="B315" i="1"/>
  <c r="B316" i="1" s="1"/>
  <c r="B317" i="1" s="1"/>
  <c r="B318" i="1" s="1"/>
  <c r="B319" i="1" s="1"/>
  <c r="B320" i="1" s="1"/>
  <c r="B321" i="1" s="1"/>
  <c r="B322" i="1" s="1"/>
  <c r="B323" i="1" s="1"/>
  <c r="C314" i="1"/>
  <c r="D314" i="1" s="1"/>
  <c r="E314" i="1" s="1"/>
  <c r="F314" i="1" s="1"/>
  <c r="G314" i="1" s="1"/>
  <c r="H314" i="1" s="1"/>
  <c r="D315" i="1"/>
  <c r="E315" i="1" s="1"/>
  <c r="F315" i="1" s="1"/>
  <c r="G315" i="1" s="1"/>
  <c r="H315" i="1" s="1"/>
  <c r="D316" i="1"/>
  <c r="D317" i="1" s="1"/>
  <c r="D318" i="1" s="1"/>
  <c r="D319" i="1" s="1"/>
  <c r="D320" i="1" s="1"/>
  <c r="D321" i="1" s="1"/>
  <c r="D322" i="1" s="1"/>
  <c r="D323" i="1" s="1"/>
  <c r="A303" i="1"/>
  <c r="A79" i="3"/>
  <c r="R4" i="2"/>
  <c r="R135" i="3" s="1"/>
  <c r="S135" i="3"/>
  <c r="T135" i="3"/>
  <c r="U135" i="3"/>
  <c r="AU4" i="2"/>
  <c r="AP4" i="2"/>
  <c r="AP135" i="3" s="1"/>
  <c r="AS135" i="3"/>
  <c r="AT135" i="3"/>
  <c r="AR135" i="3"/>
  <c r="AQ135" i="3"/>
  <c r="AL4" i="2"/>
  <c r="AL135" i="3" s="1"/>
  <c r="AN135" i="3"/>
  <c r="AO135" i="3"/>
  <c r="AM135" i="3"/>
  <c r="W4" i="2"/>
  <c r="W135" i="3" s="1"/>
  <c r="AK135" i="3"/>
  <c r="AH135" i="3"/>
  <c r="AJ135" i="3"/>
  <c r="AI135" i="3"/>
  <c r="X135" i="3"/>
  <c r="Y135" i="3"/>
  <c r="Z135" i="3"/>
  <c r="AA135" i="3"/>
  <c r="AB135" i="3"/>
  <c r="AC135" i="3"/>
  <c r="AD135" i="3"/>
  <c r="AE135" i="3"/>
  <c r="AF135" i="3"/>
  <c r="AG135" i="3"/>
  <c r="N4" i="2"/>
  <c r="N135" i="3" s="1"/>
  <c r="Q135" i="3"/>
  <c r="P135" i="3"/>
  <c r="O135" i="3"/>
  <c r="I4" i="2"/>
  <c r="J135" i="3"/>
  <c r="K135" i="3"/>
  <c r="M135" i="3"/>
  <c r="L135" i="3"/>
  <c r="A283" i="1"/>
  <c r="A276" i="1"/>
  <c r="A268" i="1"/>
  <c r="A255" i="1"/>
  <c r="A246" i="1"/>
  <c r="B147" i="4"/>
  <c r="D141" i="4"/>
  <c r="D143" i="4"/>
  <c r="B149" i="4"/>
  <c r="D145" i="4"/>
  <c r="B156" i="4"/>
  <c r="B146" i="4"/>
  <c r="D140" i="4"/>
  <c r="D142" i="4"/>
  <c r="C149" i="4"/>
  <c r="E13" i="3"/>
  <c r="C14" i="3" s="1"/>
  <c r="E10" i="3"/>
  <c r="B499" i="1"/>
  <c r="A35" i="3"/>
  <c r="A518" i="1"/>
  <c r="C482" i="1"/>
  <c r="D482" i="1"/>
  <c r="E482" i="1"/>
  <c r="A46" i="3"/>
  <c r="A473" i="1"/>
  <c r="A112" i="1"/>
  <c r="A35" i="1"/>
  <c r="A26" i="1"/>
  <c r="A84" i="1"/>
  <c r="D409" i="1"/>
  <c r="C410" i="1"/>
  <c r="C411" i="1" s="1"/>
  <c r="C421" i="1"/>
  <c r="D421" i="1" s="1"/>
  <c r="G192" i="1"/>
  <c r="G191" i="1" s="1"/>
  <c r="H192" i="1"/>
  <c r="H191" i="1" s="1"/>
  <c r="I192" i="1"/>
  <c r="I191" i="1" s="1"/>
  <c r="J192" i="1"/>
  <c r="J191" i="1" s="1"/>
  <c r="K192" i="1"/>
  <c r="K191" i="1" s="1"/>
  <c r="L192" i="1"/>
  <c r="L191" i="1" s="1"/>
  <c r="M192" i="1"/>
  <c r="M191" i="1" s="1"/>
  <c r="N192" i="1"/>
  <c r="N191" i="1" s="1"/>
  <c r="O192" i="1"/>
  <c r="O191" i="1" s="1"/>
  <c r="P192" i="1"/>
  <c r="P191" i="1" s="1"/>
  <c r="Q192" i="1"/>
  <c r="Q191" i="1" s="1"/>
  <c r="R192" i="1"/>
  <c r="R191" i="1" s="1"/>
  <c r="S192" i="1"/>
  <c r="S191" i="1" s="1"/>
  <c r="T192" i="1"/>
  <c r="T191" i="1" s="1"/>
  <c r="U192" i="1"/>
  <c r="U191" i="1" s="1"/>
  <c r="V192" i="1"/>
  <c r="V191" i="1" s="1"/>
  <c r="W192" i="1"/>
  <c r="W191" i="1" s="1"/>
  <c r="AG192" i="1"/>
  <c r="AG191" i="1" s="1"/>
  <c r="AI192" i="1"/>
  <c r="AI191" i="1" s="1"/>
  <c r="AJ192" i="1"/>
  <c r="AJ191" i="1" s="1"/>
  <c r="AL192" i="1"/>
  <c r="AL191" i="1" s="1"/>
  <c r="AN192" i="1"/>
  <c r="AN191" i="1" s="1"/>
  <c r="AP192" i="1"/>
  <c r="AP191" i="1" s="1"/>
  <c r="AR192" i="1"/>
  <c r="AR191" i="1" s="1"/>
  <c r="AS192" i="1"/>
  <c r="AS191" i="1" s="1"/>
  <c r="X192" i="1"/>
  <c r="X191" i="1" s="1"/>
  <c r="Y192" i="1"/>
  <c r="Y191" i="1" s="1"/>
  <c r="Z192" i="1"/>
  <c r="Z191" i="1" s="1"/>
  <c r="AA192" i="1"/>
  <c r="AA191" i="1" s="1"/>
  <c r="AB192" i="1"/>
  <c r="AB191" i="1" s="1"/>
  <c r="AC192" i="1"/>
  <c r="AC191" i="1" s="1"/>
  <c r="AD192" i="1"/>
  <c r="AD191" i="1" s="1"/>
  <c r="AE192" i="1"/>
  <c r="AE191" i="1" s="1"/>
  <c r="AF192" i="1"/>
  <c r="AF191" i="1" s="1"/>
  <c r="AH192" i="1"/>
  <c r="AH191" i="1" s="1"/>
  <c r="AK192" i="1"/>
  <c r="AK191" i="1" s="1"/>
  <c r="AM192" i="1"/>
  <c r="AM191" i="1" s="1"/>
  <c r="AO192" i="1"/>
  <c r="AO191" i="1" s="1"/>
  <c r="AQ192" i="1"/>
  <c r="AQ191" i="1" s="1"/>
  <c r="AT192" i="1"/>
  <c r="AT191" i="1" s="1"/>
  <c r="F192" i="1"/>
  <c r="F191" i="1" s="1"/>
  <c r="F193" i="1" s="1"/>
  <c r="G166" i="1"/>
  <c r="H166" i="1"/>
  <c r="I166" i="1"/>
  <c r="J166" i="1"/>
  <c r="L166" i="1"/>
  <c r="M166" i="1"/>
  <c r="N166" i="1"/>
  <c r="O166" i="1"/>
  <c r="P166" i="1"/>
  <c r="Q166" i="1"/>
  <c r="R166" i="1"/>
  <c r="S166" i="1"/>
  <c r="X166" i="1"/>
  <c r="Z166" i="1"/>
  <c r="AB166" i="1"/>
  <c r="AI166" i="1"/>
  <c r="AK166" i="1"/>
  <c r="AM166" i="1"/>
  <c r="AQ166" i="1"/>
  <c r="AS166" i="1"/>
  <c r="K166" i="1"/>
  <c r="T166" i="1"/>
  <c r="U166" i="1"/>
  <c r="V166" i="1"/>
  <c r="W166" i="1"/>
  <c r="Y166" i="1"/>
  <c r="AA166" i="1"/>
  <c r="AC166" i="1"/>
  <c r="AD166" i="1"/>
  <c r="AE166" i="1"/>
  <c r="AF166" i="1"/>
  <c r="AG166" i="1"/>
  <c r="AH166" i="1"/>
  <c r="AJ166" i="1"/>
  <c r="AL166" i="1"/>
  <c r="AN166" i="1"/>
  <c r="AO166" i="1"/>
  <c r="AP166" i="1"/>
  <c r="AR166" i="1"/>
  <c r="AT166" i="1"/>
  <c r="F166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G134" i="1"/>
  <c r="H134" i="1"/>
  <c r="I134" i="1"/>
  <c r="J134" i="1"/>
  <c r="K134" i="1"/>
  <c r="L134" i="1"/>
  <c r="M134" i="1"/>
  <c r="N134" i="1"/>
  <c r="O134" i="1"/>
  <c r="F134" i="1"/>
  <c r="F58" i="1"/>
  <c r="B48" i="1"/>
  <c r="B482" i="1" s="1"/>
  <c r="A43" i="1"/>
  <c r="C39" i="1"/>
  <c r="C36" i="1"/>
  <c r="D36" i="1" s="1"/>
  <c r="C49" i="1" s="1"/>
  <c r="C37" i="1"/>
  <c r="D37" i="1" s="1"/>
  <c r="D49" i="1" s="1"/>
  <c r="C38" i="1"/>
  <c r="D38" i="1" s="1"/>
  <c r="E49" i="1" s="1"/>
  <c r="C35" i="1"/>
  <c r="D35" i="1" s="1"/>
  <c r="A10" i="1"/>
  <c r="B15" i="1"/>
  <c r="A18" i="1" s="1"/>
  <c r="I312" i="1" l="1"/>
  <c r="J315" i="1"/>
  <c r="K315" i="1" s="1"/>
  <c r="L315" i="1" s="1"/>
  <c r="I315" i="1"/>
  <c r="J314" i="1"/>
  <c r="K314" i="1" s="1"/>
  <c r="L314" i="1" s="1"/>
  <c r="I314" i="1"/>
  <c r="A9" i="10"/>
  <c r="B9" i="10" a="1"/>
  <c r="B9" i="10" s="1"/>
  <c r="B114" i="3"/>
  <c r="C114" i="3" s="1" a="1"/>
  <c r="C114" i="3" s="1"/>
  <c r="B130" i="3"/>
  <c r="X17" i="12" s="1" a="1"/>
  <c r="X17" i="12" s="1"/>
  <c r="B122" i="3"/>
  <c r="U28" i="12" s="1" a="1"/>
  <c r="U28" i="12" s="1"/>
  <c r="B127" i="3"/>
  <c r="B123" i="3"/>
  <c r="N302" i="1"/>
  <c r="E12" i="3"/>
  <c r="B81" i="6" s="1"/>
  <c r="B82" i="6" s="1"/>
  <c r="B500" i="1"/>
  <c r="B113" i="3"/>
  <c r="C113" i="3" s="1" a="1"/>
  <c r="C113" i="3" s="1"/>
  <c r="B27" i="5" s="1"/>
  <c r="B73" i="3"/>
  <c r="B107" i="3"/>
  <c r="C107" i="3" s="1" a="1"/>
  <c r="C107" i="3" s="1"/>
  <c r="B110" i="3"/>
  <c r="C110" i="3" s="1" a="1"/>
  <c r="C110" i="3" s="1"/>
  <c r="B35" i="3"/>
  <c r="C35" i="3" s="1" a="1"/>
  <c r="C35" i="3" s="1"/>
  <c r="E35" i="3" s="1"/>
  <c r="B67" i="3"/>
  <c r="B51" i="3"/>
  <c r="B57" i="3"/>
  <c r="C16" i="12" s="1" a="1"/>
  <c r="C16" i="12" s="1"/>
  <c r="B31" i="3"/>
  <c r="C31" i="3" s="1" a="1"/>
  <c r="C31" i="3" s="1"/>
  <c r="E31" i="3" s="1"/>
  <c r="B23" i="3"/>
  <c r="C23" i="3" s="1" a="1"/>
  <c r="C23" i="3" s="1"/>
  <c r="E23" i="3" s="1"/>
  <c r="B71" i="3"/>
  <c r="B47" i="3"/>
  <c r="C6" i="12" s="1" a="1"/>
  <c r="C6" i="12" s="1"/>
  <c r="B54" i="3"/>
  <c r="C13" i="12" s="1" a="1"/>
  <c r="C13" i="12" s="1"/>
  <c r="B66" i="3"/>
  <c r="B48" i="3"/>
  <c r="C7" i="12" s="1" a="1"/>
  <c r="C7" i="12" s="1"/>
  <c r="B56" i="3"/>
  <c r="C15" i="12" s="1" a="1"/>
  <c r="C15" i="12" s="1"/>
  <c r="B30" i="3"/>
  <c r="C30" i="3" s="1" a="1"/>
  <c r="C30" i="3" s="1"/>
  <c r="E30" i="3" s="1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26" i="3"/>
  <c r="V43" i="12" s="1" a="1"/>
  <c r="V43" i="12" s="1"/>
  <c r="B307" i="1"/>
  <c r="E316" i="1"/>
  <c r="F316" i="1" s="1"/>
  <c r="G316" i="1" s="1"/>
  <c r="H316" i="1" s="1"/>
  <c r="E317" i="1"/>
  <c r="E318" i="1" s="1"/>
  <c r="E319" i="1" s="1"/>
  <c r="E320" i="1" s="1"/>
  <c r="E321" i="1" s="1"/>
  <c r="E322" i="1" s="1"/>
  <c r="E323" i="1" s="1"/>
  <c r="B46" i="3"/>
  <c r="C5" i="12" s="1" a="1"/>
  <c r="C5" i="12" s="1"/>
  <c r="B72" i="3"/>
  <c r="B49" i="3"/>
  <c r="C8" i="12" s="1" a="1"/>
  <c r="C8" i="12" s="1"/>
  <c r="B53" i="3"/>
  <c r="C12" i="12" s="1" a="1"/>
  <c r="C12" i="12" s="1"/>
  <c r="B59" i="3"/>
  <c r="C18" i="12" s="1" a="1"/>
  <c r="C18" i="12" s="1"/>
  <c r="B60" i="3"/>
  <c r="C19" i="12" s="1" a="1"/>
  <c r="C19" i="12" s="1"/>
  <c r="B22" i="3"/>
  <c r="C22" i="3" s="1" a="1"/>
  <c r="C22" i="3" s="1"/>
  <c r="E22" i="3" s="1"/>
  <c r="B52" i="3"/>
  <c r="C11" i="12" s="1" a="1"/>
  <c r="C11" i="12" s="1"/>
  <c r="B55" i="3"/>
  <c r="C14" i="12" s="1" a="1"/>
  <c r="C14" i="12" s="1"/>
  <c r="B37" i="3"/>
  <c r="C37" i="3" s="1" a="1"/>
  <c r="C37" i="3" s="1"/>
  <c r="E37" i="3" s="1"/>
  <c r="B21" i="3"/>
  <c r="C21" i="3" s="1" a="1"/>
  <c r="C21" i="3" s="1"/>
  <c r="E21" i="3" s="1"/>
  <c r="AU135" i="3"/>
  <c r="B120" i="3"/>
  <c r="O6" i="12" s="1" a="1"/>
  <c r="O6" i="12" s="1"/>
  <c r="BB5" i="7" s="1"/>
  <c r="B106" i="3"/>
  <c r="C106" i="3" s="1" a="1"/>
  <c r="C106" i="3" s="1"/>
  <c r="B119" i="3"/>
  <c r="B79" i="3"/>
  <c r="B38" i="3"/>
  <c r="C38" i="3" s="1" a="1"/>
  <c r="C38" i="3" s="1"/>
  <c r="E38" i="3" s="1"/>
  <c r="B29" i="3"/>
  <c r="C29" i="3" s="1" a="1"/>
  <c r="C29" i="3" s="1"/>
  <c r="E29" i="3" s="1"/>
  <c r="B20" i="3"/>
  <c r="B75" i="3"/>
  <c r="B64" i="3"/>
  <c r="B24" i="3"/>
  <c r="C24" i="3" s="1" a="1"/>
  <c r="C24" i="3" s="1"/>
  <c r="E24" i="3" s="1"/>
  <c r="B121" i="3"/>
  <c r="O7" i="12" s="1" a="1"/>
  <c r="O7" i="12" s="1"/>
  <c r="B80" i="3"/>
  <c r="B74" i="3"/>
  <c r="B65" i="3"/>
  <c r="B50" i="3"/>
  <c r="C9" i="12" s="1" a="1"/>
  <c r="C9" i="12" s="1"/>
  <c r="B58" i="3"/>
  <c r="B36" i="3"/>
  <c r="C36" i="3" s="1" a="1"/>
  <c r="C36" i="3" s="1"/>
  <c r="E36" i="3" s="1"/>
  <c r="B28" i="3"/>
  <c r="B9" i="3"/>
  <c r="I135" i="3"/>
  <c r="B41" i="3"/>
  <c r="C41" i="3" s="1" a="1"/>
  <c r="C41" i="3" s="1"/>
  <c r="B19" i="5" s="1"/>
  <c r="D147" i="4"/>
  <c r="B151" i="4"/>
  <c r="D149" i="4" s="1"/>
  <c r="B153" i="4"/>
  <c r="B160" i="4"/>
  <c r="D144" i="4"/>
  <c r="D146" i="4"/>
  <c r="B150" i="4"/>
  <c r="C153" i="4"/>
  <c r="C157" i="4" s="1"/>
  <c r="C161" i="4" s="1"/>
  <c r="C165" i="4" s="1"/>
  <c r="C169" i="4" s="1"/>
  <c r="C173" i="4" s="1"/>
  <c r="C177" i="4" s="1"/>
  <c r="C181" i="4" s="1"/>
  <c r="D511" i="1"/>
  <c r="E511" i="1"/>
  <c r="F511" i="1"/>
  <c r="G511" i="1"/>
  <c r="H511" i="1"/>
  <c r="I511" i="1"/>
  <c r="J511" i="1"/>
  <c r="K511" i="1"/>
  <c r="L511" i="1"/>
  <c r="M511" i="1"/>
  <c r="N511" i="1"/>
  <c r="O511" i="1"/>
  <c r="P511" i="1"/>
  <c r="Q511" i="1"/>
  <c r="C511" i="1"/>
  <c r="D410" i="1"/>
  <c r="D411" i="1"/>
  <c r="C412" i="1"/>
  <c r="D412" i="1" s="1"/>
  <c r="C422" i="1"/>
  <c r="D422" i="1" s="1"/>
  <c r="AG163" i="1"/>
  <c r="AG165" i="1"/>
  <c r="AH163" i="1"/>
  <c r="AH165" i="1"/>
  <c r="AI165" i="1"/>
  <c r="AI163" i="1"/>
  <c r="AK163" i="1"/>
  <c r="AK165" i="1"/>
  <c r="AM163" i="1"/>
  <c r="AM165" i="1"/>
  <c r="AF163" i="1"/>
  <c r="AF165" i="1"/>
  <c r="AL163" i="1"/>
  <c r="AL165" i="1"/>
  <c r="AJ165" i="1"/>
  <c r="AJ163" i="1"/>
  <c r="F190" i="1"/>
  <c r="F189" i="1"/>
  <c r="F188" i="1"/>
  <c r="F195" i="1"/>
  <c r="F194" i="1"/>
  <c r="G188" i="1"/>
  <c r="G190" i="1"/>
  <c r="G189" i="1"/>
  <c r="G195" i="1"/>
  <c r="G194" i="1"/>
  <c r="G193" i="1"/>
  <c r="H190" i="1"/>
  <c r="H189" i="1"/>
  <c r="H188" i="1"/>
  <c r="H195" i="1"/>
  <c r="H194" i="1"/>
  <c r="H193" i="1"/>
  <c r="I194" i="1"/>
  <c r="I190" i="1"/>
  <c r="I189" i="1"/>
  <c r="I188" i="1"/>
  <c r="I195" i="1"/>
  <c r="I193" i="1"/>
  <c r="J190" i="1"/>
  <c r="J189" i="1"/>
  <c r="J188" i="1"/>
  <c r="J195" i="1"/>
  <c r="J194" i="1"/>
  <c r="J193" i="1"/>
  <c r="K193" i="1"/>
  <c r="K190" i="1"/>
  <c r="K189" i="1"/>
  <c r="K188" i="1"/>
  <c r="K195" i="1"/>
  <c r="K194" i="1"/>
  <c r="L193" i="1"/>
  <c r="L194" i="1"/>
  <c r="L190" i="1"/>
  <c r="L189" i="1"/>
  <c r="L188" i="1"/>
  <c r="L195" i="1"/>
  <c r="M190" i="1"/>
  <c r="M189" i="1"/>
  <c r="M188" i="1"/>
  <c r="M195" i="1"/>
  <c r="M194" i="1"/>
  <c r="M193" i="1"/>
  <c r="N189" i="1"/>
  <c r="N190" i="1"/>
  <c r="N188" i="1"/>
  <c r="N195" i="1"/>
  <c r="N194" i="1"/>
  <c r="N193" i="1"/>
  <c r="O190" i="1"/>
  <c r="O188" i="1"/>
  <c r="O194" i="1"/>
  <c r="O189" i="1"/>
  <c r="O195" i="1"/>
  <c r="O193" i="1"/>
  <c r="P190" i="1"/>
  <c r="P188" i="1"/>
  <c r="P189" i="1"/>
  <c r="P195" i="1"/>
  <c r="P194" i="1"/>
  <c r="P193" i="1"/>
  <c r="Q193" i="1"/>
  <c r="Q190" i="1"/>
  <c r="Q189" i="1"/>
  <c r="Q188" i="1"/>
  <c r="Q195" i="1"/>
  <c r="Q194" i="1"/>
  <c r="R190" i="1"/>
  <c r="R194" i="1"/>
  <c r="R189" i="1"/>
  <c r="R188" i="1"/>
  <c r="R195" i="1"/>
  <c r="R193" i="1"/>
  <c r="S190" i="1"/>
  <c r="S188" i="1"/>
  <c r="S189" i="1"/>
  <c r="S195" i="1"/>
  <c r="S194" i="1"/>
  <c r="S193" i="1"/>
  <c r="T190" i="1"/>
  <c r="T193" i="1"/>
  <c r="T189" i="1"/>
  <c r="T188" i="1"/>
  <c r="T195" i="1"/>
  <c r="T194" i="1"/>
  <c r="U190" i="1"/>
  <c r="U194" i="1"/>
  <c r="U193" i="1"/>
  <c r="U189" i="1"/>
  <c r="U188" i="1"/>
  <c r="U195" i="1"/>
  <c r="V190" i="1"/>
  <c r="V193" i="1"/>
  <c r="V189" i="1"/>
  <c r="V188" i="1"/>
  <c r="V195" i="1"/>
  <c r="V194" i="1"/>
  <c r="W190" i="1"/>
  <c r="W194" i="1"/>
  <c r="W193" i="1"/>
  <c r="W189" i="1"/>
  <c r="W188" i="1"/>
  <c r="W195" i="1"/>
  <c r="AG195" i="1"/>
  <c r="AG194" i="1"/>
  <c r="AG188" i="1"/>
  <c r="AG189" i="1"/>
  <c r="AG193" i="1"/>
  <c r="AG190" i="1"/>
  <c r="AI195" i="1"/>
  <c r="AI194" i="1"/>
  <c r="AI189" i="1"/>
  <c r="AI188" i="1"/>
  <c r="AI193" i="1"/>
  <c r="AI190" i="1"/>
  <c r="AJ190" i="1"/>
  <c r="AJ193" i="1"/>
  <c r="AJ189" i="1"/>
  <c r="AJ188" i="1"/>
  <c r="AJ195" i="1"/>
  <c r="AJ194" i="1"/>
  <c r="AL190" i="1"/>
  <c r="AL189" i="1"/>
  <c r="AL188" i="1"/>
  <c r="AL195" i="1"/>
  <c r="AL193" i="1"/>
  <c r="AL194" i="1"/>
  <c r="AN190" i="1"/>
  <c r="AN189" i="1"/>
  <c r="AN188" i="1"/>
  <c r="AN195" i="1"/>
  <c r="AN194" i="1"/>
  <c r="AN193" i="1"/>
  <c r="AP189" i="1"/>
  <c r="AP190" i="1"/>
  <c r="AP193" i="1"/>
  <c r="AP188" i="1"/>
  <c r="AP195" i="1"/>
  <c r="AP194" i="1"/>
  <c r="AR188" i="1"/>
  <c r="AR189" i="1"/>
  <c r="AR193" i="1"/>
  <c r="AR190" i="1"/>
  <c r="AR194" i="1"/>
  <c r="AR195" i="1"/>
  <c r="AS195" i="1"/>
  <c r="AS188" i="1"/>
  <c r="AS194" i="1"/>
  <c r="AS189" i="1"/>
  <c r="AS190" i="1"/>
  <c r="AS193" i="1"/>
  <c r="X189" i="1"/>
  <c r="X194" i="1"/>
  <c r="X195" i="1"/>
  <c r="X193" i="1"/>
  <c r="X188" i="1"/>
  <c r="X190" i="1"/>
  <c r="Y195" i="1"/>
  <c r="Y189" i="1"/>
  <c r="Y193" i="1"/>
  <c r="Y188" i="1"/>
  <c r="Y190" i="1"/>
  <c r="Y194" i="1"/>
  <c r="Z195" i="1"/>
  <c r="Z188" i="1"/>
  <c r="Z194" i="1"/>
  <c r="Z189" i="1"/>
  <c r="Z190" i="1"/>
  <c r="Z193" i="1"/>
  <c r="AA190" i="1"/>
  <c r="AA189" i="1"/>
  <c r="AA195" i="1"/>
  <c r="AA194" i="1"/>
  <c r="AA188" i="1"/>
  <c r="AA193" i="1"/>
  <c r="AB189" i="1"/>
  <c r="AB188" i="1"/>
  <c r="AB195" i="1"/>
  <c r="AB193" i="1"/>
  <c r="AB194" i="1"/>
  <c r="AB190" i="1"/>
  <c r="AC190" i="1"/>
  <c r="AC193" i="1"/>
  <c r="AC189" i="1"/>
  <c r="AC188" i="1"/>
  <c r="AC195" i="1"/>
  <c r="AC194" i="1"/>
  <c r="AD194" i="1"/>
  <c r="AD195" i="1"/>
  <c r="AD189" i="1"/>
  <c r="AD193" i="1"/>
  <c r="AD188" i="1"/>
  <c r="AD190" i="1"/>
  <c r="AE194" i="1"/>
  <c r="AE190" i="1"/>
  <c r="AE193" i="1"/>
  <c r="AE189" i="1"/>
  <c r="AE188" i="1"/>
  <c r="AE195" i="1"/>
  <c r="AF188" i="1"/>
  <c r="AF189" i="1"/>
  <c r="AF193" i="1"/>
  <c r="AF194" i="1"/>
  <c r="AF190" i="1"/>
  <c r="AF195" i="1"/>
  <c r="AH195" i="1"/>
  <c r="AH190" i="1"/>
  <c r="AH188" i="1"/>
  <c r="AH193" i="1"/>
  <c r="AH189" i="1"/>
  <c r="AH194" i="1"/>
  <c r="AK190" i="1"/>
  <c r="AK189" i="1"/>
  <c r="AK195" i="1"/>
  <c r="AK194" i="1"/>
  <c r="AK193" i="1"/>
  <c r="AK188" i="1"/>
  <c r="AM190" i="1"/>
  <c r="AM193" i="1"/>
  <c r="AM188" i="1"/>
  <c r="AM195" i="1"/>
  <c r="AM194" i="1"/>
  <c r="AM189" i="1"/>
  <c r="AO190" i="1"/>
  <c r="AO189" i="1"/>
  <c r="AO188" i="1"/>
  <c r="AO195" i="1"/>
  <c r="AO193" i="1"/>
  <c r="AO194" i="1"/>
  <c r="AQ194" i="1"/>
  <c r="AQ195" i="1"/>
  <c r="AQ193" i="1"/>
  <c r="AQ188" i="1"/>
  <c r="AQ189" i="1"/>
  <c r="AQ190" i="1"/>
  <c r="AT190" i="1"/>
  <c r="AT193" i="1"/>
  <c r="AT189" i="1"/>
  <c r="AT188" i="1"/>
  <c r="AT195" i="1"/>
  <c r="AT194" i="1"/>
  <c r="AQ163" i="1"/>
  <c r="AQ165" i="1"/>
  <c r="AS164" i="1"/>
  <c r="AS163" i="1"/>
  <c r="AS165" i="1"/>
  <c r="AN163" i="1"/>
  <c r="AN165" i="1"/>
  <c r="AO163" i="1"/>
  <c r="AO165" i="1"/>
  <c r="AP163" i="1"/>
  <c r="AP165" i="1"/>
  <c r="AR164" i="1"/>
  <c r="AR163" i="1"/>
  <c r="AR165" i="1"/>
  <c r="AT163" i="1"/>
  <c r="AT164" i="1"/>
  <c r="AT165" i="1"/>
  <c r="G164" i="1"/>
  <c r="G163" i="1"/>
  <c r="G167" i="1"/>
  <c r="G169" i="1"/>
  <c r="G168" i="1"/>
  <c r="G165" i="1"/>
  <c r="H164" i="1"/>
  <c r="H163" i="1"/>
  <c r="H169" i="1"/>
  <c r="H168" i="1"/>
  <c r="H167" i="1"/>
  <c r="H165" i="1"/>
  <c r="I164" i="1"/>
  <c r="I163" i="1"/>
  <c r="I167" i="1"/>
  <c r="I169" i="1"/>
  <c r="I168" i="1"/>
  <c r="I165" i="1"/>
  <c r="J164" i="1"/>
  <c r="J163" i="1"/>
  <c r="J169" i="1"/>
  <c r="J168" i="1"/>
  <c r="J167" i="1"/>
  <c r="J165" i="1"/>
  <c r="L164" i="1"/>
  <c r="L163" i="1"/>
  <c r="L169" i="1"/>
  <c r="L168" i="1"/>
  <c r="L167" i="1"/>
  <c r="L165" i="1"/>
  <c r="M164" i="1"/>
  <c r="M163" i="1"/>
  <c r="M167" i="1"/>
  <c r="M169" i="1"/>
  <c r="M168" i="1"/>
  <c r="M165" i="1"/>
  <c r="N164" i="1"/>
  <c r="N163" i="1"/>
  <c r="N169" i="1"/>
  <c r="N168" i="1"/>
  <c r="N167" i="1"/>
  <c r="N165" i="1"/>
  <c r="O164" i="1"/>
  <c r="O163" i="1"/>
  <c r="O167" i="1"/>
  <c r="O169" i="1"/>
  <c r="O168" i="1"/>
  <c r="O165" i="1"/>
  <c r="P164" i="1"/>
  <c r="P163" i="1"/>
  <c r="P167" i="1"/>
  <c r="P169" i="1"/>
  <c r="P168" i="1"/>
  <c r="P165" i="1"/>
  <c r="Q164" i="1"/>
  <c r="Q163" i="1"/>
  <c r="Q167" i="1"/>
  <c r="Q169" i="1"/>
  <c r="Q168" i="1"/>
  <c r="Q165" i="1"/>
  <c r="R164" i="1"/>
  <c r="R163" i="1"/>
  <c r="R167" i="1"/>
  <c r="R169" i="1"/>
  <c r="R168" i="1"/>
  <c r="R165" i="1"/>
  <c r="S164" i="1"/>
  <c r="S163" i="1"/>
  <c r="S167" i="1"/>
  <c r="S169" i="1"/>
  <c r="S168" i="1"/>
  <c r="S165" i="1"/>
  <c r="X164" i="1"/>
  <c r="X163" i="1"/>
  <c r="X167" i="1"/>
  <c r="X169" i="1"/>
  <c r="X168" i="1"/>
  <c r="X165" i="1"/>
  <c r="Z164" i="1"/>
  <c r="Z163" i="1"/>
  <c r="Z167" i="1"/>
  <c r="Z169" i="1"/>
  <c r="Z168" i="1"/>
  <c r="Z165" i="1"/>
  <c r="AB164" i="1"/>
  <c r="AB163" i="1"/>
  <c r="AB167" i="1"/>
  <c r="AB169" i="1"/>
  <c r="AB168" i="1"/>
  <c r="AB165" i="1"/>
  <c r="AI164" i="1"/>
  <c r="AI167" i="1"/>
  <c r="AI168" i="1"/>
  <c r="AI169" i="1"/>
  <c r="AK164" i="1"/>
  <c r="AK167" i="1"/>
  <c r="AK168" i="1"/>
  <c r="AK169" i="1"/>
  <c r="AM164" i="1"/>
  <c r="AM167" i="1"/>
  <c r="AM168" i="1"/>
  <c r="AM169" i="1"/>
  <c r="AQ164" i="1"/>
  <c r="AQ168" i="1"/>
  <c r="AQ169" i="1"/>
  <c r="AQ167" i="1"/>
  <c r="AS168" i="1"/>
  <c r="AS169" i="1"/>
  <c r="AS167" i="1"/>
  <c r="K169" i="1"/>
  <c r="K168" i="1"/>
  <c r="K164" i="1"/>
  <c r="K163" i="1"/>
  <c r="K167" i="1"/>
  <c r="K165" i="1"/>
  <c r="T169" i="1"/>
  <c r="T168" i="1"/>
  <c r="T164" i="1"/>
  <c r="T163" i="1"/>
  <c r="T167" i="1"/>
  <c r="T165" i="1"/>
  <c r="U169" i="1"/>
  <c r="U168" i="1"/>
  <c r="U164" i="1"/>
  <c r="U163" i="1"/>
  <c r="U167" i="1"/>
  <c r="U165" i="1"/>
  <c r="V169" i="1"/>
  <c r="V168" i="1"/>
  <c r="V164" i="1"/>
  <c r="V163" i="1"/>
  <c r="V167" i="1"/>
  <c r="V165" i="1"/>
  <c r="W169" i="1"/>
  <c r="W168" i="1"/>
  <c r="W164" i="1"/>
  <c r="W163" i="1"/>
  <c r="W167" i="1"/>
  <c r="W165" i="1"/>
  <c r="Y168" i="1"/>
  <c r="Y169" i="1"/>
  <c r="Y164" i="1"/>
  <c r="Y163" i="1"/>
  <c r="Y167" i="1"/>
  <c r="Y165" i="1"/>
  <c r="AA168" i="1"/>
  <c r="AA169" i="1"/>
  <c r="AA164" i="1"/>
  <c r="AA163" i="1"/>
  <c r="AA167" i="1"/>
  <c r="AA165" i="1"/>
  <c r="AC168" i="1"/>
  <c r="AC169" i="1"/>
  <c r="AC164" i="1"/>
  <c r="AC163" i="1"/>
  <c r="AC167" i="1"/>
  <c r="AC165" i="1"/>
  <c r="AD169" i="1"/>
  <c r="AD168" i="1"/>
  <c r="AD164" i="1"/>
  <c r="AD163" i="1"/>
  <c r="AD167" i="1"/>
  <c r="AD165" i="1"/>
  <c r="AE168" i="1"/>
  <c r="AE169" i="1"/>
  <c r="AE164" i="1"/>
  <c r="AE163" i="1"/>
  <c r="AE167" i="1"/>
  <c r="AE165" i="1"/>
  <c r="AF169" i="1"/>
  <c r="AF168" i="1"/>
  <c r="AF164" i="1"/>
  <c r="AF167" i="1"/>
  <c r="AG168" i="1"/>
  <c r="AG169" i="1"/>
  <c r="AG164" i="1"/>
  <c r="AG167" i="1"/>
  <c r="AH169" i="1"/>
  <c r="AH168" i="1"/>
  <c r="AH164" i="1"/>
  <c r="AH167" i="1"/>
  <c r="AJ169" i="1"/>
  <c r="AJ168" i="1"/>
  <c r="AJ164" i="1"/>
  <c r="AJ167" i="1"/>
  <c r="AL169" i="1"/>
  <c r="AL168" i="1"/>
  <c r="AL164" i="1"/>
  <c r="AL167" i="1"/>
  <c r="AN169" i="1"/>
  <c r="AN168" i="1"/>
  <c r="AN164" i="1"/>
  <c r="AN167" i="1"/>
  <c r="AO168" i="1"/>
  <c r="AO169" i="1"/>
  <c r="AO167" i="1"/>
  <c r="AO164" i="1"/>
  <c r="AP169" i="1"/>
  <c r="AP168" i="1"/>
  <c r="AP167" i="1"/>
  <c r="AP164" i="1"/>
  <c r="AR169" i="1"/>
  <c r="AR168" i="1"/>
  <c r="AR167" i="1"/>
  <c r="AT169" i="1"/>
  <c r="AT168" i="1"/>
  <c r="AT167" i="1"/>
  <c r="F169" i="1"/>
  <c r="F167" i="1"/>
  <c r="F163" i="1"/>
  <c r="F165" i="1"/>
  <c r="F168" i="1"/>
  <c r="F164" i="1"/>
  <c r="C52" i="1"/>
  <c r="C53" i="1"/>
  <c r="D52" i="1"/>
  <c r="D53" i="1"/>
  <c r="E52" i="1"/>
  <c r="E53" i="1"/>
  <c r="B49" i="1"/>
  <c r="C495" i="1" l="1"/>
  <c r="E495" i="1"/>
  <c r="D495" i="1"/>
  <c r="B495" i="1"/>
  <c r="J316" i="1"/>
  <c r="K316" i="1" s="1"/>
  <c r="L316" i="1" s="1"/>
  <c r="I316" i="1"/>
  <c r="E39" i="3"/>
  <c r="A13" i="10"/>
  <c r="B13" i="10" a="1"/>
  <c r="B13" i="10" s="1"/>
  <c r="B10" i="10" a="1"/>
  <c r="B10" i="10" s="1"/>
  <c r="A10" i="10"/>
  <c r="B11" i="10" a="1"/>
  <c r="B11" i="10" s="1"/>
  <c r="A11" i="10"/>
  <c r="E114" i="3"/>
  <c r="BT136" i="3" s="1"/>
  <c r="B28" i="5"/>
  <c r="U6" i="12" a="1"/>
  <c r="U6" i="12" s="1"/>
  <c r="U34" i="12" a="1"/>
  <c r="U34" i="12" s="1"/>
  <c r="U20" i="12" a="1"/>
  <c r="U20" i="12" s="1"/>
  <c r="U24" i="12" a="1"/>
  <c r="U24" i="12" s="1"/>
  <c r="X36" i="12" a="1"/>
  <c r="X36" i="12" s="1"/>
  <c r="U40" i="12" a="1"/>
  <c r="U40" i="12" s="1"/>
  <c r="U21" i="12" a="1"/>
  <c r="U21" i="12" s="1"/>
  <c r="U33" i="12" a="1"/>
  <c r="U33" i="12" s="1"/>
  <c r="V13" i="12" a="1"/>
  <c r="V13" i="12" s="1"/>
  <c r="V6" i="12" a="1"/>
  <c r="V6" i="12" s="1"/>
  <c r="X33" i="12" a="1"/>
  <c r="X33" i="12" s="1"/>
  <c r="U41" i="12" a="1"/>
  <c r="U41" i="12" s="1"/>
  <c r="M13" i="7" a="1"/>
  <c r="M13" i="7" s="1"/>
  <c r="U16" i="12" a="1"/>
  <c r="U16" i="12" s="1"/>
  <c r="V20" i="12" a="1"/>
  <c r="V20" i="12" s="1"/>
  <c r="X6" i="12" a="1"/>
  <c r="X6" i="12" s="1"/>
  <c r="V34" i="12" a="1"/>
  <c r="V34" i="12" s="1"/>
  <c r="V38" i="12" a="1"/>
  <c r="V38" i="12" s="1"/>
  <c r="V32" i="12" a="1"/>
  <c r="V32" i="12" s="1"/>
  <c r="X28" i="12" a="1"/>
  <c r="X28" i="12" s="1"/>
  <c r="X37" i="12" a="1"/>
  <c r="X37" i="12" s="1"/>
  <c r="V17" i="12" a="1"/>
  <c r="V17" i="12" s="1"/>
  <c r="V30" i="12" a="1"/>
  <c r="V30" i="12" s="1"/>
  <c r="V23" i="12" a="1"/>
  <c r="V23" i="12" s="1"/>
  <c r="V37" i="12" a="1"/>
  <c r="V37" i="12" s="1"/>
  <c r="V19" i="12" a="1"/>
  <c r="V19" i="12" s="1"/>
  <c r="V36" i="12" a="1"/>
  <c r="V36" i="12" s="1"/>
  <c r="V21" i="12" a="1"/>
  <c r="V21" i="12" s="1"/>
  <c r="V22" i="12" a="1"/>
  <c r="V22" i="12" s="1"/>
  <c r="V40" i="12" a="1"/>
  <c r="V40" i="12" s="1"/>
  <c r="V25" i="12" a="1"/>
  <c r="V25" i="12" s="1"/>
  <c r="V27" i="12" a="1"/>
  <c r="V27" i="12" s="1"/>
  <c r="V29" i="12" a="1"/>
  <c r="V29" i="12" s="1"/>
  <c r="V15" i="12" a="1"/>
  <c r="V15" i="12" s="1"/>
  <c r="V14" i="12" a="1"/>
  <c r="V14" i="12" s="1"/>
  <c r="V33" i="12" a="1"/>
  <c r="V33" i="12" s="1"/>
  <c r="V31" i="12" a="1"/>
  <c r="V31" i="12" s="1"/>
  <c r="V39" i="12" a="1"/>
  <c r="V39" i="12" s="1"/>
  <c r="V42" i="12" a="1"/>
  <c r="V42" i="12" s="1"/>
  <c r="V35" i="12" a="1"/>
  <c r="V35" i="12" s="1"/>
  <c r="V41" i="12" a="1"/>
  <c r="V41" i="12" s="1"/>
  <c r="V12" i="12" a="1"/>
  <c r="V12" i="12" s="1"/>
  <c r="V16" i="12" a="1"/>
  <c r="V16" i="12" s="1"/>
  <c r="V26" i="12" a="1"/>
  <c r="V26" i="12" s="1"/>
  <c r="V24" i="12" a="1"/>
  <c r="V24" i="12" s="1"/>
  <c r="V18" i="12" a="1"/>
  <c r="V18" i="12" s="1"/>
  <c r="U38" i="12" a="1"/>
  <c r="U38" i="12" s="1"/>
  <c r="U18" i="12" a="1"/>
  <c r="U18" i="12" s="1"/>
  <c r="U19" i="12" a="1"/>
  <c r="U19" i="12" s="1"/>
  <c r="U35" i="12" a="1"/>
  <c r="U35" i="12" s="1"/>
  <c r="U13" i="12" a="1"/>
  <c r="U13" i="12" s="1"/>
  <c r="U29" i="12" a="1"/>
  <c r="U29" i="12" s="1"/>
  <c r="U27" i="12" a="1"/>
  <c r="U27" i="12" s="1"/>
  <c r="U31" i="12" a="1"/>
  <c r="U31" i="12" s="1"/>
  <c r="U17" i="12" a="1"/>
  <c r="U17" i="12" s="1"/>
  <c r="U26" i="12" a="1"/>
  <c r="U26" i="12" s="1"/>
  <c r="U25" i="12" a="1"/>
  <c r="U25" i="12" s="1"/>
  <c r="U43" i="12" a="1"/>
  <c r="U43" i="12" s="1"/>
  <c r="U23" i="12" a="1"/>
  <c r="U23" i="12" s="1"/>
  <c r="U37" i="12" a="1"/>
  <c r="U37" i="12" s="1"/>
  <c r="U39" i="12" a="1"/>
  <c r="U39" i="12" s="1"/>
  <c r="U22" i="12" a="1"/>
  <c r="U22" i="12" s="1"/>
  <c r="U42" i="12" a="1"/>
  <c r="U42" i="12" s="1"/>
  <c r="U15" i="12" a="1"/>
  <c r="U15" i="12" s="1"/>
  <c r="U14" i="12" a="1"/>
  <c r="U14" i="12" s="1"/>
  <c r="V28" i="12" a="1"/>
  <c r="V28" i="12" s="1"/>
  <c r="U32" i="12" a="1"/>
  <c r="U32" i="12" s="1"/>
  <c r="U30" i="12" a="1"/>
  <c r="U30" i="12" s="1"/>
  <c r="X40" i="12" a="1"/>
  <c r="X40" i="12" s="1"/>
  <c r="X18" i="12" a="1"/>
  <c r="X18" i="12" s="1"/>
  <c r="X34" i="12" a="1"/>
  <c r="X34" i="12" s="1"/>
  <c r="X15" i="12" a="1"/>
  <c r="X15" i="12" s="1"/>
  <c r="X29" i="12" a="1"/>
  <c r="X29" i="12" s="1"/>
  <c r="X32" i="12" a="1"/>
  <c r="X32" i="12" s="1"/>
  <c r="X19" i="12" a="1"/>
  <c r="X19" i="12" s="1"/>
  <c r="X27" i="12" a="1"/>
  <c r="X27" i="12" s="1"/>
  <c r="X26" i="12" a="1"/>
  <c r="X26" i="12" s="1"/>
  <c r="X14" i="12" a="1"/>
  <c r="X14" i="12" s="1"/>
  <c r="X35" i="12" a="1"/>
  <c r="X35" i="12" s="1"/>
  <c r="X42" i="12" a="1"/>
  <c r="X42" i="12" s="1"/>
  <c r="X23" i="12" a="1"/>
  <c r="X23" i="12" s="1"/>
  <c r="X43" i="12" a="1"/>
  <c r="X43" i="12" s="1"/>
  <c r="X12" i="12" a="1"/>
  <c r="X12" i="12" s="1"/>
  <c r="X25" i="12" a="1"/>
  <c r="X25" i="12" s="1"/>
  <c r="X31" i="12" a="1"/>
  <c r="X31" i="12" s="1"/>
  <c r="X16" i="12" a="1"/>
  <c r="X16" i="12" s="1"/>
  <c r="X30" i="12" a="1"/>
  <c r="X30" i="12" s="1"/>
  <c r="X13" i="12" a="1"/>
  <c r="X13" i="12" s="1"/>
  <c r="X20" i="12" a="1"/>
  <c r="X20" i="12" s="1"/>
  <c r="X21" i="12" a="1"/>
  <c r="X21" i="12" s="1"/>
  <c r="X39" i="12" a="1"/>
  <c r="X39" i="12" s="1"/>
  <c r="X22" i="12" a="1"/>
  <c r="X22" i="12" s="1"/>
  <c r="X24" i="12" a="1"/>
  <c r="X24" i="12" s="1"/>
  <c r="X41" i="12" a="1"/>
  <c r="X41" i="12" s="1"/>
  <c r="X38" i="12" a="1"/>
  <c r="X38" i="12" s="1"/>
  <c r="U36" i="12" a="1"/>
  <c r="U36" i="12" s="1"/>
  <c r="U12" i="12" a="1"/>
  <c r="U12" i="12" s="1"/>
  <c r="O17" i="12" a="1"/>
  <c r="O17" i="12" s="1"/>
  <c r="X11" i="12" a="1"/>
  <c r="X11" i="12" s="1"/>
  <c r="X10" i="12" a="1"/>
  <c r="X10" i="12" s="1"/>
  <c r="X9" i="12" a="1"/>
  <c r="X9" i="12" s="1"/>
  <c r="X8" i="12" a="1"/>
  <c r="X8" i="12" s="1"/>
  <c r="X7" i="12" a="1"/>
  <c r="X7" i="12" s="1"/>
  <c r="U11" i="12" a="1"/>
  <c r="U11" i="12" s="1"/>
  <c r="U7" i="12" a="1"/>
  <c r="U7" i="12" s="1"/>
  <c r="U10" i="12" a="1"/>
  <c r="U10" i="12" s="1"/>
  <c r="U8" i="12" a="1"/>
  <c r="U8" i="12" s="1"/>
  <c r="U9" i="12" a="1"/>
  <c r="U9" i="12" s="1"/>
  <c r="O10" i="12" a="1"/>
  <c r="O10" i="12" s="1"/>
  <c r="O11" i="12" a="1"/>
  <c r="O11" i="12" s="1"/>
  <c r="V8" i="12" a="1"/>
  <c r="V8" i="12" s="1"/>
  <c r="V9" i="12" a="1"/>
  <c r="V9" i="12" s="1"/>
  <c r="V10" i="12" a="1"/>
  <c r="V10" i="12" s="1"/>
  <c r="V11" i="12" a="1"/>
  <c r="V11" i="12" s="1"/>
  <c r="V7" i="12" a="1"/>
  <c r="V7" i="12" s="1"/>
  <c r="N303" i="1" a="1"/>
  <c r="N303" i="1" s="1"/>
  <c r="N316" i="1" a="1"/>
  <c r="N316" i="1" s="1"/>
  <c r="N315" i="1" a="1"/>
  <c r="N315" i="1" s="1"/>
  <c r="N314" i="1" a="1"/>
  <c r="N314" i="1" s="1"/>
  <c r="N313" i="1" a="1"/>
  <c r="N313" i="1" s="1"/>
  <c r="N312" i="1" a="1"/>
  <c r="N312" i="1" s="1"/>
  <c r="N311" i="1" a="1"/>
  <c r="N311" i="1" s="1"/>
  <c r="N310" i="1" a="1"/>
  <c r="N310" i="1" s="1"/>
  <c r="N309" i="1" a="1"/>
  <c r="N309" i="1" s="1"/>
  <c r="N307" i="1" a="1"/>
  <c r="N307" i="1" s="1"/>
  <c r="N308" i="1" a="1"/>
  <c r="N308" i="1" s="1"/>
  <c r="N306" i="1" a="1"/>
  <c r="N306" i="1" s="1"/>
  <c r="N305" i="1" a="1"/>
  <c r="N305" i="1" s="1"/>
  <c r="N304" i="1" a="1"/>
  <c r="N304" i="1" s="1"/>
  <c r="C73" i="3" a="1"/>
  <c r="C73" i="3" s="1"/>
  <c r="I7" i="12" a="1"/>
  <c r="I7" i="12" s="1"/>
  <c r="C67" i="3" a="1"/>
  <c r="C67" i="3" s="1"/>
  <c r="F8" i="12" a="1"/>
  <c r="F8" i="12" s="1"/>
  <c r="C71" i="3" a="1"/>
  <c r="C71" i="3" s="1"/>
  <c r="E71" i="3" s="1"/>
  <c r="I5" i="12" a="1"/>
  <c r="I5" i="12" s="1"/>
  <c r="C66" i="3" a="1"/>
  <c r="C66" i="3" s="1"/>
  <c r="F7" i="12" a="1"/>
  <c r="F7" i="12" s="1"/>
  <c r="C81" i="3" a="1"/>
  <c r="C81" i="3" s="1"/>
  <c r="L7" i="12" a="1"/>
  <c r="L7" i="12" s="1"/>
  <c r="C82" i="3" a="1"/>
  <c r="C82" i="3" s="1"/>
  <c r="L8" i="12" a="1"/>
  <c r="L8" i="12" s="1"/>
  <c r="C83" i="3" a="1"/>
  <c r="C83" i="3" s="1"/>
  <c r="L9" i="12" a="1"/>
  <c r="L9" i="12" s="1"/>
  <c r="C84" i="3" a="1"/>
  <c r="C84" i="3" s="1"/>
  <c r="L10" i="12" a="1"/>
  <c r="L10" i="12" s="1"/>
  <c r="C85" i="3" a="1"/>
  <c r="C85" i="3" s="1"/>
  <c r="L11" i="12" a="1"/>
  <c r="L11" i="12" s="1"/>
  <c r="C86" i="3" a="1"/>
  <c r="C86" i="3" s="1"/>
  <c r="L12" i="12" a="1"/>
  <c r="L12" i="12" s="1"/>
  <c r="C87" i="3" a="1"/>
  <c r="C87" i="3" s="1"/>
  <c r="L13" i="12" a="1"/>
  <c r="L13" i="12" s="1"/>
  <c r="C88" i="3" a="1"/>
  <c r="C88" i="3" s="1"/>
  <c r="L14" i="12" a="1"/>
  <c r="L14" i="12" s="1"/>
  <c r="C89" i="3" a="1"/>
  <c r="C89" i="3" s="1"/>
  <c r="L15" i="12" a="1"/>
  <c r="L15" i="12" s="1"/>
  <c r="C90" i="3" a="1"/>
  <c r="C90" i="3" s="1"/>
  <c r="L16" i="12" a="1"/>
  <c r="L16" i="12" s="1"/>
  <c r="C91" i="3" a="1"/>
  <c r="C91" i="3" s="1"/>
  <c r="L17" i="12" a="1"/>
  <c r="L17" i="12" s="1"/>
  <c r="C92" i="3" a="1"/>
  <c r="C92" i="3" s="1"/>
  <c r="L18" i="12" a="1"/>
  <c r="L18" i="12" s="1"/>
  <c r="C93" i="3" a="1"/>
  <c r="C93" i="3" s="1"/>
  <c r="L19" i="12" a="1"/>
  <c r="L19" i="12" s="1"/>
  <c r="C94" i="3" a="1"/>
  <c r="C94" i="3" s="1"/>
  <c r="L20" i="12" a="1"/>
  <c r="L20" i="12" s="1"/>
  <c r="C95" i="3" a="1"/>
  <c r="C95" i="3" s="1"/>
  <c r="L21" i="12" a="1"/>
  <c r="L21" i="12" s="1"/>
  <c r="C96" i="3" a="1"/>
  <c r="C96" i="3" s="1"/>
  <c r="L22" i="12" a="1"/>
  <c r="L22" i="12" s="1"/>
  <c r="C97" i="3" a="1"/>
  <c r="C97" i="3" s="1"/>
  <c r="L23" i="12" a="1"/>
  <c r="L23" i="12" s="1"/>
  <c r="C98" i="3" a="1"/>
  <c r="C98" i="3" s="1"/>
  <c r="L24" i="12" a="1"/>
  <c r="L24" i="12" s="1"/>
  <c r="C99" i="3" a="1"/>
  <c r="C99" i="3" s="1"/>
  <c r="L25" i="12" a="1"/>
  <c r="L25" i="12" s="1"/>
  <c r="C72" i="3" a="1"/>
  <c r="C72" i="3" s="1"/>
  <c r="I6" i="12" a="1"/>
  <c r="I6" i="12" s="1"/>
  <c r="C79" i="3" a="1"/>
  <c r="C79" i="3" s="1"/>
  <c r="E79" i="3" s="1"/>
  <c r="L5" i="12" a="1"/>
  <c r="L5" i="12" s="1"/>
  <c r="L30" i="12" s="1"/>
  <c r="L38" i="12" s="1"/>
  <c r="C75" i="3" a="1"/>
  <c r="C75" i="3" s="1"/>
  <c r="I9" i="12" a="1"/>
  <c r="I9" i="12" s="1"/>
  <c r="C64" i="3" a="1"/>
  <c r="C64" i="3" s="1"/>
  <c r="E64" i="3" s="1"/>
  <c r="F5" i="12" a="1"/>
  <c r="F5" i="12" s="1"/>
  <c r="C80" i="3" a="1"/>
  <c r="C80" i="3" s="1"/>
  <c r="L6" i="12" a="1"/>
  <c r="L6" i="12" s="1"/>
  <c r="C74" i="3" a="1"/>
  <c r="C74" i="3" s="1"/>
  <c r="I8" i="12" a="1"/>
  <c r="I8" i="12" s="1"/>
  <c r="C65" i="3" a="1"/>
  <c r="C65" i="3" s="1"/>
  <c r="F6" i="12" a="1"/>
  <c r="F6" i="12" s="1"/>
  <c r="C28" i="3" a="1"/>
  <c r="C28" i="3" s="1"/>
  <c r="E28" i="3" s="1"/>
  <c r="E32" i="3" s="1"/>
  <c r="M10" i="7" a="1"/>
  <c r="M10" i="7" s="1"/>
  <c r="Q136" i="3"/>
  <c r="B89" i="6"/>
  <c r="P136" i="3"/>
  <c r="B88" i="6"/>
  <c r="O136" i="3"/>
  <c r="B87" i="6"/>
  <c r="C51" i="3" a="1"/>
  <c r="C51" i="3" s="1"/>
  <c r="C10" i="12" a="1"/>
  <c r="C10" i="12" s="1"/>
  <c r="C47" i="3" a="1"/>
  <c r="C47" i="3" s="1"/>
  <c r="C48" i="3" a="1"/>
  <c r="C48" i="3" s="1"/>
  <c r="C50" i="3" a="1"/>
  <c r="C50" i="3" s="1"/>
  <c r="C58" i="3" a="1"/>
  <c r="C58" i="3" s="1"/>
  <c r="C17" i="12" a="1"/>
  <c r="C17" i="12" s="1"/>
  <c r="C57" i="3" a="1"/>
  <c r="C57" i="3" s="1"/>
  <c r="C54" i="3" a="1"/>
  <c r="C54" i="3" s="1"/>
  <c r="C56" i="3" a="1"/>
  <c r="C56" i="3" s="1"/>
  <c r="C46" i="3" a="1"/>
  <c r="C46" i="3" s="1"/>
  <c r="E46" i="3" s="1"/>
  <c r="C49" i="3" a="1"/>
  <c r="C49" i="3" s="1"/>
  <c r="C53" i="3" a="1"/>
  <c r="C53" i="3" s="1"/>
  <c r="C59" i="3" a="1"/>
  <c r="C59" i="3" s="1"/>
  <c r="C60" i="3" a="1"/>
  <c r="C60" i="3" s="1"/>
  <c r="C52" i="3" a="1"/>
  <c r="C52" i="3" s="1"/>
  <c r="C55" i="3" a="1"/>
  <c r="C55" i="3" s="1"/>
  <c r="BB6" i="7" a="1"/>
  <c r="BB6" i="7" s="1"/>
  <c r="M6" i="7" a="1"/>
  <c r="M6" i="7" s="1"/>
  <c r="E113" i="3"/>
  <c r="BS136" i="3" s="1"/>
  <c r="E107" i="3"/>
  <c r="BQ136" i="3" s="1"/>
  <c r="B24" i="5"/>
  <c r="B20" i="5"/>
  <c r="E110" i="3"/>
  <c r="BR136" i="3" s="1"/>
  <c r="B23" i="5"/>
  <c r="E106" i="3"/>
  <c r="BP136" i="3" s="1"/>
  <c r="L136" i="3"/>
  <c r="C34" i="5"/>
  <c r="K136" i="3"/>
  <c r="C33" i="5"/>
  <c r="C32" i="5"/>
  <c r="M136" i="3"/>
  <c r="C35" i="5"/>
  <c r="R136" i="3"/>
  <c r="C20" i="3" a="1"/>
  <c r="C20" i="3" s="1"/>
  <c r="T136" i="3"/>
  <c r="C39" i="3"/>
  <c r="B504" i="1"/>
  <c r="B308" i="1"/>
  <c r="B309" i="1" s="1"/>
  <c r="B310" i="1" s="1"/>
  <c r="B311" i="1" s="1"/>
  <c r="B312" i="1" s="1"/>
  <c r="B313" i="1" s="1"/>
  <c r="F317" i="1"/>
  <c r="G317" i="1" s="1"/>
  <c r="H317" i="1" s="1"/>
  <c r="F318" i="1"/>
  <c r="F319" i="1" s="1"/>
  <c r="F320" i="1" s="1"/>
  <c r="F321" i="1" s="1"/>
  <c r="F322" i="1" s="1"/>
  <c r="F323" i="1" s="1"/>
  <c r="S136" i="3"/>
  <c r="U136" i="3"/>
  <c r="E136" i="3"/>
  <c r="E41" i="3"/>
  <c r="V136" i="3" s="1"/>
  <c r="F136" i="3"/>
  <c r="G136" i="3"/>
  <c r="C9" i="3" a="1"/>
  <c r="C9" i="3" s="1"/>
  <c r="B17" i="5" s="1"/>
  <c r="D151" i="4"/>
  <c r="B155" i="4"/>
  <c r="D153" i="4"/>
  <c r="B157" i="4"/>
  <c r="B164" i="4"/>
  <c r="D148" i="4"/>
  <c r="B154" i="4"/>
  <c r="D150" i="4"/>
  <c r="C413" i="1"/>
  <c r="D413" i="1" s="1"/>
  <c r="C423" i="1"/>
  <c r="D423" i="1" s="1"/>
  <c r="F49" i="1"/>
  <c r="B53" i="1"/>
  <c r="B52" i="1"/>
  <c r="J317" i="1" l="1"/>
  <c r="K317" i="1" s="1"/>
  <c r="L317" i="1" s="1"/>
  <c r="I317" i="1"/>
  <c r="N317" i="1" a="1"/>
  <c r="N317" i="1" s="1"/>
  <c r="C31" i="5"/>
  <c r="E20" i="3"/>
  <c r="E25" i="3" s="1"/>
  <c r="B50" i="5"/>
  <c r="J76" i="6" a="1"/>
  <c r="J76" i="6" s="1"/>
  <c r="E90" i="3"/>
  <c r="BF136" i="3" s="1"/>
  <c r="B77" i="6" a="1"/>
  <c r="B77" i="6" s="1"/>
  <c r="E80" i="3"/>
  <c r="AV136" i="3" s="1"/>
  <c r="B76" i="6" a="1"/>
  <c r="B76" i="6" s="1"/>
  <c r="J77" i="6" a="1"/>
  <c r="J77" i="6" s="1"/>
  <c r="A15" i="10"/>
  <c r="B15" i="10" a="1"/>
  <c r="B15" i="10" s="1"/>
  <c r="B17" i="10" a="1"/>
  <c r="B17" i="10" s="1"/>
  <c r="A17" i="10"/>
  <c r="A14" i="10"/>
  <c r="B14" i="10" a="1"/>
  <c r="B14" i="10" s="1"/>
  <c r="A12" i="10"/>
  <c r="B12" i="10" a="1"/>
  <c r="B12" i="10" s="1"/>
  <c r="E98" i="3"/>
  <c r="BN136" i="3" s="1"/>
  <c r="E85" i="3"/>
  <c r="BA136" i="3" s="1"/>
  <c r="E49" i="3"/>
  <c r="Z136" i="3" s="1"/>
  <c r="E92" i="3"/>
  <c r="BH136" i="3" s="1"/>
  <c r="E75" i="3"/>
  <c r="AT136" i="3" s="1"/>
  <c r="E56" i="3"/>
  <c r="AG136" i="3" s="1"/>
  <c r="E54" i="3"/>
  <c r="AE136" i="3" s="1"/>
  <c r="E97" i="3"/>
  <c r="BM136" i="3" s="1"/>
  <c r="E57" i="3"/>
  <c r="AH136" i="3" s="1"/>
  <c r="E96" i="3"/>
  <c r="BL136" i="3" s="1"/>
  <c r="E58" i="3"/>
  <c r="AI136" i="3" s="1"/>
  <c r="E55" i="3"/>
  <c r="AF136" i="3" s="1"/>
  <c r="E50" i="3"/>
  <c r="AA136" i="3" s="1"/>
  <c r="E95" i="3"/>
  <c r="BK136" i="3" s="1"/>
  <c r="E89" i="3"/>
  <c r="BE136" i="3" s="1"/>
  <c r="E83" i="3"/>
  <c r="AY136" i="3" s="1"/>
  <c r="E73" i="3"/>
  <c r="AR136" i="3" s="1"/>
  <c r="E52" i="3"/>
  <c r="AC136" i="3" s="1"/>
  <c r="E48" i="3"/>
  <c r="Y136" i="3" s="1"/>
  <c r="E91" i="3"/>
  <c r="BG136" i="3" s="1"/>
  <c r="E84" i="3"/>
  <c r="AZ136" i="3" s="1"/>
  <c r="E60" i="3"/>
  <c r="AK136" i="3" s="1"/>
  <c r="E47" i="3"/>
  <c r="X136" i="3" s="1"/>
  <c r="E65" i="3"/>
  <c r="AM136" i="3" s="1"/>
  <c r="E72" i="3"/>
  <c r="AQ136" i="3" s="1"/>
  <c r="E94" i="3"/>
  <c r="BJ136" i="3" s="1"/>
  <c r="E88" i="3"/>
  <c r="BD136" i="3" s="1"/>
  <c r="E82" i="3"/>
  <c r="AX136" i="3" s="1"/>
  <c r="E86" i="3"/>
  <c r="BB136" i="3" s="1"/>
  <c r="E67" i="3"/>
  <c r="AO136" i="3" s="1"/>
  <c r="E66" i="3"/>
  <c r="AN136" i="3" s="1"/>
  <c r="E59" i="3"/>
  <c r="AJ136" i="3" s="1"/>
  <c r="E53" i="3"/>
  <c r="AD136" i="3" s="1"/>
  <c r="E51" i="3"/>
  <c r="AB136" i="3" s="1"/>
  <c r="E74" i="3"/>
  <c r="AS136" i="3" s="1"/>
  <c r="E99" i="3"/>
  <c r="BO136" i="3" s="1"/>
  <c r="E93" i="3"/>
  <c r="BI136" i="3" s="1"/>
  <c r="E87" i="3"/>
  <c r="BC136" i="3" s="1"/>
  <c r="E81" i="3"/>
  <c r="B49" i="5"/>
  <c r="M14" i="7"/>
  <c r="L33" i="12"/>
  <c r="L41" i="12" s="1"/>
  <c r="L32" i="12"/>
  <c r="L40" i="12" s="1"/>
  <c r="AP136" i="3"/>
  <c r="C76" i="3"/>
  <c r="M77" i="6"/>
  <c r="M78" i="6" s="1"/>
  <c r="C100" i="3"/>
  <c r="AU136" i="3"/>
  <c r="AL136" i="3"/>
  <c r="C68" i="3"/>
  <c r="B503" i="1"/>
  <c r="B86" i="6"/>
  <c r="E92" i="6" s="1"/>
  <c r="C32" i="3"/>
  <c r="N136" i="3"/>
  <c r="I40" i="12"/>
  <c r="H40" i="12"/>
  <c r="H38" i="12"/>
  <c r="I38" i="12"/>
  <c r="H39" i="12"/>
  <c r="I39" i="12"/>
  <c r="H42" i="12"/>
  <c r="I42" i="12"/>
  <c r="I41" i="12"/>
  <c r="H41" i="12"/>
  <c r="L34" i="12"/>
  <c r="L42" i="12" s="1"/>
  <c r="L31" i="12"/>
  <c r="L39" i="12" s="1"/>
  <c r="E21" i="12" a="1"/>
  <c r="L35" i="12"/>
  <c r="L43" i="12" s="1"/>
  <c r="B42" i="5"/>
  <c r="B43" i="5" s="1"/>
  <c r="C515" i="1" a="1"/>
  <c r="C515" i="1" s="1"/>
  <c r="B518" i="1" s="1"/>
  <c r="C61" i="3"/>
  <c r="W136" i="3"/>
  <c r="B21" i="12" a="1"/>
  <c r="B33" i="5"/>
  <c r="D33" i="5" s="1"/>
  <c r="B34" i="5"/>
  <c r="D34" i="5" s="1"/>
  <c r="B35" i="5"/>
  <c r="D35" i="5" s="1"/>
  <c r="B31" i="5"/>
  <c r="B32" i="5"/>
  <c r="D32" i="5" s="1"/>
  <c r="C25" i="3"/>
  <c r="B502" i="1"/>
  <c r="E9" i="3"/>
  <c r="D136" i="3" s="1"/>
  <c r="B83" i="6"/>
  <c r="B107" i="6" s="1"/>
  <c r="G318" i="1"/>
  <c r="H318" i="1" s="1"/>
  <c r="G319" i="1"/>
  <c r="G320" i="1" s="1"/>
  <c r="G321" i="1" s="1"/>
  <c r="J136" i="3"/>
  <c r="D155" i="4"/>
  <c r="B159" i="4"/>
  <c r="D157" i="4" s="1"/>
  <c r="B161" i="4"/>
  <c r="B168" i="4"/>
  <c r="D152" i="4"/>
  <c r="B158" i="4"/>
  <c r="D154" i="4"/>
  <c r="C414" i="1"/>
  <c r="D414" i="1" s="1"/>
  <c r="C424" i="1"/>
  <c r="D424" i="1" s="1"/>
  <c r="F53" i="1"/>
  <c r="F52" i="1"/>
  <c r="B494" i="1" l="1" a="1"/>
  <c r="B494" i="1" s="1"/>
  <c r="J318" i="1"/>
  <c r="K318" i="1" s="1"/>
  <c r="L318" i="1" s="1"/>
  <c r="I318" i="1"/>
  <c r="N318" i="1" a="1"/>
  <c r="N318" i="1" s="1"/>
  <c r="D31" i="5"/>
  <c r="D36" i="5" s="1"/>
  <c r="G322" i="1"/>
  <c r="B21" i="10" a="1"/>
  <c r="B21" i="10" s="1"/>
  <c r="A21" i="10"/>
  <c r="D12" i="10"/>
  <c r="B18" i="10" a="1"/>
  <c r="B18" i="10" s="1"/>
  <c r="A18" i="10"/>
  <c r="B19" i="10" a="1"/>
  <c r="B19" i="10" s="1"/>
  <c r="A19" i="10"/>
  <c r="A16" i="10"/>
  <c r="B16" i="10" a="1"/>
  <c r="B16" i="10" s="1"/>
  <c r="B32" i="10" s="1"/>
  <c r="P10" i="12"/>
  <c r="BB7" i="7" s="1"/>
  <c r="E100" i="3"/>
  <c r="E61" i="3"/>
  <c r="E76" i="3"/>
  <c r="AW136" i="3"/>
  <c r="E68" i="3"/>
  <c r="B38" i="5"/>
  <c r="E105" i="6"/>
  <c r="E104" i="6"/>
  <c r="E103" i="6"/>
  <c r="E102" i="6"/>
  <c r="E101" i="6"/>
  <c r="E99" i="6"/>
  <c r="E98" i="6"/>
  <c r="E97" i="6"/>
  <c r="E96" i="6"/>
  <c r="E93" i="6"/>
  <c r="E95" i="6"/>
  <c r="E94" i="6"/>
  <c r="D78" i="6"/>
  <c r="J78" i="6"/>
  <c r="E78" i="6"/>
  <c r="I78" i="6"/>
  <c r="G78" i="6"/>
  <c r="F78" i="6"/>
  <c r="C78" i="6"/>
  <c r="H78" i="6"/>
  <c r="K78" i="6"/>
  <c r="B78" i="6"/>
  <c r="F40" i="12"/>
  <c r="E21" i="12"/>
  <c r="E38" i="12" s="1"/>
  <c r="E40" i="12"/>
  <c r="F41" i="12"/>
  <c r="E41" i="12"/>
  <c r="E39" i="12"/>
  <c r="F39" i="12"/>
  <c r="F38" i="12"/>
  <c r="B42" i="12"/>
  <c r="B41" i="12"/>
  <c r="B40" i="12"/>
  <c r="C41" i="12"/>
  <c r="C42" i="12"/>
  <c r="C40" i="12"/>
  <c r="B39" i="12"/>
  <c r="C39" i="12"/>
  <c r="C38" i="12"/>
  <c r="B21" i="12"/>
  <c r="B38" i="12" s="1"/>
  <c r="H136" i="3"/>
  <c r="I136" i="3"/>
  <c r="H319" i="1"/>
  <c r="H320" i="1"/>
  <c r="D159" i="4"/>
  <c r="B163" i="4"/>
  <c r="D161" i="4"/>
  <c r="B165" i="4"/>
  <c r="B172" i="4"/>
  <c r="D156" i="4"/>
  <c r="D158" i="4"/>
  <c r="B162" i="4"/>
  <c r="C415" i="1"/>
  <c r="D415" i="1" s="1"/>
  <c r="C425" i="1"/>
  <c r="D425" i="1" s="1"/>
  <c r="C57" i="1"/>
  <c r="D57" i="1"/>
  <c r="D62" i="1" s="1"/>
  <c r="D66" i="1" s="1"/>
  <c r="D484" i="1" s="1"/>
  <c r="E57" i="1"/>
  <c r="B57" i="1"/>
  <c r="B62" i="1" s="1"/>
  <c r="B66" i="1" s="1"/>
  <c r="B484" i="1" s="1"/>
  <c r="C56" i="1"/>
  <c r="C61" i="1" s="1"/>
  <c r="C65" i="1" s="1"/>
  <c r="C483" i="1" s="1"/>
  <c r="D56" i="1"/>
  <c r="D61" i="1" s="1"/>
  <c r="D65" i="1" s="1"/>
  <c r="D483" i="1" s="1"/>
  <c r="E56" i="1"/>
  <c r="E61" i="1" s="1"/>
  <c r="E65" i="1" s="1"/>
  <c r="E483" i="1" s="1"/>
  <c r="B56" i="1"/>
  <c r="B501" i="1" l="1"/>
  <c r="B505" i="1"/>
  <c r="H321" i="1"/>
  <c r="I320" i="1"/>
  <c r="N320" i="1" a="1"/>
  <c r="N320" i="1" s="1"/>
  <c r="J319" i="1"/>
  <c r="K319" i="1" s="1"/>
  <c r="L319" i="1" s="1"/>
  <c r="I319" i="1"/>
  <c r="N319" i="1" a="1"/>
  <c r="N319" i="1" s="1"/>
  <c r="N78" i="6"/>
  <c r="G323" i="1"/>
  <c r="B20" i="10" a="1"/>
  <c r="B20" i="10" s="1"/>
  <c r="A20" i="10"/>
  <c r="P11" i="12"/>
  <c r="BB10" i="7" s="1"/>
  <c r="A25" i="10"/>
  <c r="B25" i="10" a="1"/>
  <c r="B25" i="10" s="1"/>
  <c r="B22" i="10" a="1"/>
  <c r="B22" i="10" s="1"/>
  <c r="A22" i="10"/>
  <c r="B23" i="10" a="1"/>
  <c r="B23" i="10" s="1"/>
  <c r="A23" i="10"/>
  <c r="D16" i="10"/>
  <c r="Q11" i="12"/>
  <c r="O14" i="12" s="1"/>
  <c r="W20" i="12"/>
  <c r="Y20" i="12" s="1"/>
  <c r="W25" i="12"/>
  <c r="Y25" i="12" s="1"/>
  <c r="W14" i="12"/>
  <c r="Y14" i="12" s="1"/>
  <c r="W35" i="12"/>
  <c r="Y35" i="12" s="1"/>
  <c r="W16" i="12"/>
  <c r="Y16" i="12" s="1"/>
  <c r="W9" i="12"/>
  <c r="Y9" i="12" s="1"/>
  <c r="W42" i="12"/>
  <c r="Y42" i="12" s="1"/>
  <c r="W34" i="12"/>
  <c r="Y34" i="12" s="1"/>
  <c r="W31" i="12"/>
  <c r="Y31" i="12" s="1"/>
  <c r="W27" i="12"/>
  <c r="Y27" i="12" s="1"/>
  <c r="W43" i="12"/>
  <c r="Y43" i="12" s="1"/>
  <c r="W37" i="12"/>
  <c r="Y37" i="12" s="1"/>
  <c r="W23" i="12"/>
  <c r="Y23" i="12" s="1"/>
  <c r="W18" i="12"/>
  <c r="Y18" i="12" s="1"/>
  <c r="W30" i="12"/>
  <c r="Y30" i="12" s="1"/>
  <c r="W33" i="12"/>
  <c r="Y33" i="12" s="1"/>
  <c r="W40" i="12"/>
  <c r="Y40" i="12" s="1"/>
  <c r="W17" i="12"/>
  <c r="Y17" i="12" s="1"/>
  <c r="W38" i="12"/>
  <c r="Y38" i="12" s="1"/>
  <c r="W32" i="12"/>
  <c r="Y32" i="12" s="1"/>
  <c r="W21" i="12"/>
  <c r="Y21" i="12" s="1"/>
  <c r="W41" i="12"/>
  <c r="Y41" i="12" s="1"/>
  <c r="W8" i="12"/>
  <c r="Y8" i="12" s="1"/>
  <c r="W6" i="12"/>
  <c r="Y6" i="12" s="1"/>
  <c r="W22" i="12"/>
  <c r="Y22" i="12" s="1"/>
  <c r="W29" i="12"/>
  <c r="Y29" i="12" s="1"/>
  <c r="W10" i="12"/>
  <c r="Y10" i="12" s="1"/>
  <c r="W26" i="12"/>
  <c r="Y26" i="12" s="1"/>
  <c r="W12" i="12"/>
  <c r="Y12" i="12" s="1"/>
  <c r="W39" i="12"/>
  <c r="Y39" i="12" s="1"/>
  <c r="W11" i="12"/>
  <c r="Y11" i="12" s="1"/>
  <c r="W24" i="12"/>
  <c r="Y24" i="12" s="1"/>
  <c r="W19" i="12"/>
  <c r="Y19" i="12" s="1"/>
  <c r="W28" i="12"/>
  <c r="Y28" i="12" s="1"/>
  <c r="W13" i="12"/>
  <c r="Y13" i="12" s="1"/>
  <c r="W15" i="12"/>
  <c r="Y15" i="12" s="1"/>
  <c r="W7" i="12"/>
  <c r="Y7" i="12" s="1"/>
  <c r="W36" i="12"/>
  <c r="Y36" i="12" s="1"/>
  <c r="B102" i="6"/>
  <c r="B103" i="6"/>
  <c r="B94" i="6"/>
  <c r="B105" i="6"/>
  <c r="B95" i="6"/>
  <c r="B99" i="6"/>
  <c r="B93" i="6"/>
  <c r="B97" i="6"/>
  <c r="B101" i="6"/>
  <c r="B96" i="6"/>
  <c r="B104" i="6"/>
  <c r="B98" i="6"/>
  <c r="B92" i="6"/>
  <c r="B39" i="5"/>
  <c r="B45" i="5" s="1"/>
  <c r="C130" i="3" s="1"/>
  <c r="E130" i="3" s="1"/>
  <c r="B40" i="5"/>
  <c r="B46" i="5" s="1"/>
  <c r="J320" i="1"/>
  <c r="K320" i="1" s="1"/>
  <c r="L320" i="1" s="1"/>
  <c r="J321" i="1"/>
  <c r="B167" i="4"/>
  <c r="D163" i="4"/>
  <c r="B169" i="4"/>
  <c r="D165" i="4"/>
  <c r="B176" i="4"/>
  <c r="D160" i="4"/>
  <c r="D162" i="4"/>
  <c r="B166" i="4"/>
  <c r="C416" i="1"/>
  <c r="D416" i="1" s="1"/>
  <c r="C426" i="1"/>
  <c r="D426" i="1" s="1"/>
  <c r="C62" i="1"/>
  <c r="C66" i="1" s="1"/>
  <c r="C484" i="1" s="1"/>
  <c r="Q374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C374" i="1"/>
  <c r="Q373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C373" i="1"/>
  <c r="Q372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C372" i="1"/>
  <c r="B58" i="1"/>
  <c r="B61" i="1"/>
  <c r="B65" i="1" s="1"/>
  <c r="B483" i="1" s="1"/>
  <c r="G483" i="1" s="1" a="1"/>
  <c r="G483" i="1" s="1"/>
  <c r="B489" i="1" s="1"/>
  <c r="E62" i="1"/>
  <c r="E66" i="1" s="1"/>
  <c r="E484" i="1" s="1"/>
  <c r="E58" i="1"/>
  <c r="D58" i="1"/>
  <c r="C58" i="1"/>
  <c r="H322" i="1" l="1"/>
  <c r="I321" i="1"/>
  <c r="N321" i="1" a="1"/>
  <c r="N321" i="1" s="1"/>
  <c r="A27" i="10"/>
  <c r="B27" i="10" a="1"/>
  <c r="B27" i="10" s="1"/>
  <c r="O15" i="12"/>
  <c r="BB13" i="7" s="1"/>
  <c r="O18" i="12"/>
  <c r="O19" i="12" s="1"/>
  <c r="BB14" i="7" s="1"/>
  <c r="A24" i="10"/>
  <c r="B24" i="10" a="1"/>
  <c r="B24" i="10" s="1"/>
  <c r="D20" i="10"/>
  <c r="S50" i="12" a="1"/>
  <c r="A26" i="10"/>
  <c r="B26" i="10" a="1"/>
  <c r="B26" i="10" s="1"/>
  <c r="B110" i="6"/>
  <c r="K321" i="1"/>
  <c r="L321" i="1" s="1"/>
  <c r="J322" i="1"/>
  <c r="J323" i="1" s="1"/>
  <c r="K322" i="1"/>
  <c r="D167" i="4"/>
  <c r="B171" i="4"/>
  <c r="D169" i="4" s="1"/>
  <c r="B173" i="4"/>
  <c r="B180" i="4"/>
  <c r="D164" i="4"/>
  <c r="B170" i="4"/>
  <c r="D166" i="4"/>
  <c r="G484" i="1" a="1"/>
  <c r="G484" i="1" s="1"/>
  <c r="B490" i="1" s="1"/>
  <c r="A73" i="1"/>
  <c r="C417" i="1"/>
  <c r="D417" i="1" s="1"/>
  <c r="C427" i="1"/>
  <c r="D427" i="1" s="1"/>
  <c r="H391" i="1"/>
  <c r="G391" i="1"/>
  <c r="F391" i="1"/>
  <c r="E391" i="1"/>
  <c r="D391" i="1"/>
  <c r="C391" i="1"/>
  <c r="Q390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C390" i="1"/>
  <c r="Q389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C389" i="1"/>
  <c r="Q388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C388" i="1"/>
  <c r="Q387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C387" i="1"/>
  <c r="Q386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C386" i="1"/>
  <c r="Q385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C385" i="1"/>
  <c r="Q384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C384" i="1"/>
  <c r="Q383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C383" i="1"/>
  <c r="Q382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C382" i="1"/>
  <c r="Q381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C381" i="1"/>
  <c r="Q380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C380" i="1"/>
  <c r="Q379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C379" i="1"/>
  <c r="Q378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C378" i="1"/>
  <c r="Q377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C377" i="1"/>
  <c r="Q376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C376" i="1"/>
  <c r="Q375" i="1"/>
  <c r="Q512" i="1" s="1"/>
  <c r="P375" i="1"/>
  <c r="P512" i="1" s="1"/>
  <c r="O375" i="1"/>
  <c r="O512" i="1" s="1"/>
  <c r="N375" i="1"/>
  <c r="N512" i="1" s="1"/>
  <c r="M375" i="1"/>
  <c r="M512" i="1" s="1"/>
  <c r="L375" i="1"/>
  <c r="L512" i="1" s="1"/>
  <c r="K375" i="1"/>
  <c r="K512" i="1" s="1"/>
  <c r="J375" i="1"/>
  <c r="J512" i="1" s="1"/>
  <c r="I375" i="1"/>
  <c r="I512" i="1" s="1"/>
  <c r="H375" i="1"/>
  <c r="H512" i="1" s="1"/>
  <c r="G375" i="1"/>
  <c r="G512" i="1" s="1"/>
  <c r="F375" i="1"/>
  <c r="F512" i="1" s="1"/>
  <c r="E375" i="1"/>
  <c r="E512" i="1" s="1"/>
  <c r="D375" i="1"/>
  <c r="D512" i="1" s="1"/>
  <c r="C375" i="1"/>
  <c r="C512" i="1" s="1"/>
  <c r="L394" i="1"/>
  <c r="I394" i="1"/>
  <c r="P393" i="1"/>
  <c r="L393" i="1"/>
  <c r="Q392" i="1"/>
  <c r="M392" i="1"/>
  <c r="H392" i="1"/>
  <c r="E392" i="1"/>
  <c r="P391" i="1"/>
  <c r="M391" i="1"/>
  <c r="J391" i="1"/>
  <c r="Q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Q395" i="1"/>
  <c r="P395" i="1"/>
  <c r="O395" i="1"/>
  <c r="M395" i="1"/>
  <c r="K395" i="1"/>
  <c r="J395" i="1"/>
  <c r="H395" i="1"/>
  <c r="F395" i="1"/>
  <c r="E395" i="1"/>
  <c r="C395" i="1"/>
  <c r="P394" i="1"/>
  <c r="N394" i="1"/>
  <c r="K394" i="1"/>
  <c r="G394" i="1"/>
  <c r="C394" i="1"/>
  <c r="O392" i="1"/>
  <c r="J392" i="1"/>
  <c r="O391" i="1"/>
  <c r="K391" i="1"/>
  <c r="P396" i="1"/>
  <c r="C396" i="1"/>
  <c r="N395" i="1"/>
  <c r="L395" i="1"/>
  <c r="I395" i="1"/>
  <c r="G395" i="1"/>
  <c r="Q394" i="1"/>
  <c r="O394" i="1"/>
  <c r="M394" i="1"/>
  <c r="J394" i="1"/>
  <c r="H394" i="1"/>
  <c r="F394" i="1"/>
  <c r="D394" i="1"/>
  <c r="Q393" i="1"/>
  <c r="O393" i="1"/>
  <c r="M393" i="1"/>
  <c r="K393" i="1"/>
  <c r="J393" i="1"/>
  <c r="H393" i="1"/>
  <c r="G393" i="1"/>
  <c r="E393" i="1"/>
  <c r="C393" i="1"/>
  <c r="P392" i="1"/>
  <c r="N392" i="1"/>
  <c r="L392" i="1"/>
  <c r="G392" i="1"/>
  <c r="F392" i="1"/>
  <c r="D392" i="1"/>
  <c r="Q391" i="1"/>
  <c r="N391" i="1"/>
  <c r="L391" i="1"/>
  <c r="I391" i="1"/>
  <c r="D393" i="1"/>
  <c r="D395" i="1"/>
  <c r="E394" i="1"/>
  <c r="N393" i="1"/>
  <c r="I393" i="1"/>
  <c r="F393" i="1"/>
  <c r="K392" i="1"/>
  <c r="I392" i="1"/>
  <c r="C392" i="1"/>
  <c r="H323" i="1" l="1"/>
  <c r="I322" i="1"/>
  <c r="N322" i="1" a="1"/>
  <c r="N322" i="1" s="1"/>
  <c r="C23" i="8"/>
  <c r="H7" i="8"/>
  <c r="E28" i="8"/>
  <c r="F24" i="8"/>
  <c r="E26" i="8"/>
  <c r="B20" i="8"/>
  <c r="F40" i="8"/>
  <c r="H21" i="8"/>
  <c r="G17" i="8"/>
  <c r="C15" i="8"/>
  <c r="G35" i="8"/>
  <c r="G18" i="8"/>
  <c r="D39" i="8"/>
  <c r="B24" i="8"/>
  <c r="C16" i="8"/>
  <c r="H25" i="8"/>
  <c r="F10" i="8"/>
  <c r="C31" i="8"/>
  <c r="C14" i="8"/>
  <c r="G34" i="8"/>
  <c r="G3" i="8"/>
  <c r="E4" i="8"/>
  <c r="B6" i="8"/>
  <c r="F26" i="8"/>
  <c r="D11" i="8"/>
  <c r="H31" i="8"/>
  <c r="G29" i="8"/>
  <c r="D33" i="8"/>
  <c r="E23" i="8"/>
  <c r="D25" i="8"/>
  <c r="F19" i="8"/>
  <c r="F18" i="8"/>
  <c r="C39" i="8"/>
  <c r="C22" i="8"/>
  <c r="H6" i="8"/>
  <c r="E27" i="8"/>
  <c r="G8" i="8"/>
  <c r="D29" i="8"/>
  <c r="B14" i="8"/>
  <c r="F34" i="8"/>
  <c r="F17" i="8"/>
  <c r="C38" i="8"/>
  <c r="G4" i="8"/>
  <c r="F3" i="8"/>
  <c r="G7" i="8"/>
  <c r="B13" i="8"/>
  <c r="F33" i="8"/>
  <c r="G36" i="8"/>
  <c r="E6" i="8"/>
  <c r="G24" i="8"/>
  <c r="H23" i="8"/>
  <c r="C29" i="8"/>
  <c r="B31" i="8"/>
  <c r="D36" i="8"/>
  <c r="D5" i="8"/>
  <c r="G14" i="8"/>
  <c r="H26" i="8"/>
  <c r="C28" i="8"/>
  <c r="F25" i="8"/>
  <c r="H30" i="8"/>
  <c r="G32" i="8"/>
  <c r="B38" i="8"/>
  <c r="D4" i="8"/>
  <c r="S50" i="12"/>
  <c r="B3" i="8" s="1"/>
  <c r="H24" i="8"/>
  <c r="F9" i="8"/>
  <c r="C30" i="8"/>
  <c r="D26" i="8"/>
  <c r="H29" i="8"/>
  <c r="G21" i="8"/>
  <c r="C9" i="8"/>
  <c r="F23" i="8"/>
  <c r="B11" i="8"/>
  <c r="H16" i="8"/>
  <c r="E37" i="8"/>
  <c r="E20" i="8"/>
  <c r="H10" i="8"/>
  <c r="G25" i="8"/>
  <c r="B7" i="8"/>
  <c r="F27" i="8"/>
  <c r="D12" i="8"/>
  <c r="H32" i="8"/>
  <c r="H15" i="8"/>
  <c r="E36" i="8"/>
  <c r="G5" i="8"/>
  <c r="H3" i="8"/>
  <c r="G12" i="8"/>
  <c r="D28" i="8"/>
  <c r="E31" i="8"/>
  <c r="C25" i="8"/>
  <c r="B27" i="8"/>
  <c r="D20" i="8"/>
  <c r="H40" i="8"/>
  <c r="F8" i="8"/>
  <c r="E10" i="8"/>
  <c r="G15" i="8"/>
  <c r="D19" i="8"/>
  <c r="H39" i="8"/>
  <c r="E9" i="8"/>
  <c r="B30" i="8"/>
  <c r="D35" i="8"/>
  <c r="C33" i="8"/>
  <c r="D6" i="8"/>
  <c r="C8" i="8"/>
  <c r="G28" i="8"/>
  <c r="B22" i="8"/>
  <c r="B16" i="8"/>
  <c r="D10" i="8"/>
  <c r="C12" i="8"/>
  <c r="E17" i="8"/>
  <c r="B21" i="8"/>
  <c r="F12" i="8"/>
  <c r="G19" i="8"/>
  <c r="B25" i="8"/>
  <c r="C21" i="8"/>
  <c r="H17" i="8"/>
  <c r="C37" i="8"/>
  <c r="E18" i="8"/>
  <c r="G11" i="8"/>
  <c r="D32" i="8"/>
  <c r="D15" i="8"/>
  <c r="F20" i="8"/>
  <c r="C4" i="8"/>
  <c r="C7" i="8"/>
  <c r="G10" i="8"/>
  <c r="B5" i="8"/>
  <c r="E21" i="8"/>
  <c r="G26" i="8"/>
  <c r="D21" i="8"/>
  <c r="D18" i="8"/>
  <c r="C20" i="8"/>
  <c r="G40" i="8"/>
  <c r="B17" i="8"/>
  <c r="D22" i="8"/>
  <c r="H8" i="8"/>
  <c r="B33" i="8"/>
  <c r="C11" i="8"/>
  <c r="G31" i="8"/>
  <c r="E16" i="8"/>
  <c r="B37" i="8"/>
  <c r="H34" i="8"/>
  <c r="B8" i="8"/>
  <c r="F28" i="8"/>
  <c r="H9" i="8"/>
  <c r="E30" i="8"/>
  <c r="B35" i="8"/>
  <c r="G23" i="8"/>
  <c r="G6" i="8"/>
  <c r="D27" i="8"/>
  <c r="B12" i="8"/>
  <c r="F32" i="8"/>
  <c r="H13" i="8"/>
  <c r="E34" i="8"/>
  <c r="C19" i="8"/>
  <c r="G39" i="8"/>
  <c r="G22" i="8"/>
  <c r="D9" i="8"/>
  <c r="D3" i="8"/>
  <c r="H12" i="8"/>
  <c r="E33" i="8"/>
  <c r="C18" i="8"/>
  <c r="G38" i="8"/>
  <c r="F36" i="8"/>
  <c r="G9" i="8"/>
  <c r="D30" i="8"/>
  <c r="F11" i="8"/>
  <c r="C32" i="8"/>
  <c r="C40" i="8"/>
  <c r="E25" i="8"/>
  <c r="E8" i="8"/>
  <c r="B29" i="8"/>
  <c r="G13" i="8"/>
  <c r="D34" i="8"/>
  <c r="F15" i="8"/>
  <c r="C36" i="8"/>
  <c r="H20" i="8"/>
  <c r="C3" i="8"/>
  <c r="E24" i="8"/>
  <c r="E14" i="8"/>
  <c r="E3" i="8"/>
  <c r="F14" i="8"/>
  <c r="C35" i="8"/>
  <c r="H19" i="8"/>
  <c r="E40" i="8"/>
  <c r="E11" i="8"/>
  <c r="B32" i="8"/>
  <c r="D13" i="8"/>
  <c r="H33" i="8"/>
  <c r="C27" i="8"/>
  <c r="C10" i="8"/>
  <c r="G30" i="8"/>
  <c r="B36" i="8"/>
  <c r="H37" i="8"/>
  <c r="B28" i="8"/>
  <c r="B23" i="8"/>
  <c r="H36" i="8"/>
  <c r="F35" i="8"/>
  <c r="E32" i="8"/>
  <c r="G37" i="8"/>
  <c r="F39" i="8"/>
  <c r="D7" i="8"/>
  <c r="F31" i="8"/>
  <c r="B18" i="8"/>
  <c r="F38" i="8"/>
  <c r="D23" i="8"/>
  <c r="E19" i="8"/>
  <c r="F7" i="8"/>
  <c r="H14" i="8"/>
  <c r="E35" i="8"/>
  <c r="D37" i="8"/>
  <c r="B10" i="8"/>
  <c r="F30" i="8"/>
  <c r="F13" i="8"/>
  <c r="C34" i="8"/>
  <c r="H18" i="8"/>
  <c r="G20" i="8"/>
  <c r="C5" i="8"/>
  <c r="B26" i="8"/>
  <c r="F29" i="8"/>
  <c r="E5" i="8"/>
  <c r="D31" i="8"/>
  <c r="H22" i="8"/>
  <c r="B34" i="8"/>
  <c r="D14" i="8"/>
  <c r="E29" i="8"/>
  <c r="B4" i="8"/>
  <c r="D38" i="8"/>
  <c r="F6" i="8"/>
  <c r="E15" i="8"/>
  <c r="D17" i="8"/>
  <c r="F22" i="8"/>
  <c r="C26" i="8"/>
  <c r="H5" i="8"/>
  <c r="D16" i="8"/>
  <c r="F21" i="8"/>
  <c r="E7" i="8"/>
  <c r="B40" i="8"/>
  <c r="C13" i="8"/>
  <c r="G33" i="8"/>
  <c r="B15" i="8"/>
  <c r="D8" i="8"/>
  <c r="H28" i="8"/>
  <c r="H11" i="8"/>
  <c r="C17" i="8"/>
  <c r="B19" i="8"/>
  <c r="D24" i="8"/>
  <c r="H27" i="8"/>
  <c r="F5" i="8"/>
  <c r="G16" i="8"/>
  <c r="E39" i="8"/>
  <c r="B9" i="8"/>
  <c r="E38" i="8"/>
  <c r="D40" i="8"/>
  <c r="F16" i="8"/>
  <c r="B39" i="8"/>
  <c r="H35" i="8"/>
  <c r="E22" i="8"/>
  <c r="G27" i="8"/>
  <c r="H4" i="8"/>
  <c r="C6" i="8"/>
  <c r="H38" i="8"/>
  <c r="E13" i="8"/>
  <c r="F37" i="8"/>
  <c r="C24" i="8"/>
  <c r="E12" i="8"/>
  <c r="F4" i="8"/>
  <c r="B111" i="6"/>
  <c r="C127" i="3" s="1"/>
  <c r="E127" i="3" s="1"/>
  <c r="C126" i="3"/>
  <c r="E126" i="3" s="1"/>
  <c r="BZ136" i="3" s="1"/>
  <c r="L322" i="1"/>
  <c r="K323" i="1"/>
  <c r="L323" i="1"/>
  <c r="D171" i="4"/>
  <c r="B175" i="4"/>
  <c r="B177" i="4"/>
  <c r="D173" i="4"/>
  <c r="D168" i="4"/>
  <c r="B174" i="4"/>
  <c r="D170" i="4"/>
  <c r="B519" i="1"/>
  <c r="B521" i="1" s="1"/>
  <c r="C418" i="1"/>
  <c r="D418" i="1" s="1"/>
  <c r="C428" i="1"/>
  <c r="D428" i="1" s="1"/>
  <c r="I323" i="1" l="1"/>
  <c r="N323" i="1" a="1"/>
  <c r="N323" i="1" s="1"/>
  <c r="B506" i="1" s="1"/>
  <c r="B522" i="1"/>
  <c r="C120" i="3" s="1"/>
  <c r="C119" i="3"/>
  <c r="E119" i="3" s="1"/>
  <c r="BU136" i="3" s="1"/>
  <c r="D175" i="4"/>
  <c r="B179" i="4"/>
  <c r="D177" i="4" s="1"/>
  <c r="B181" i="4"/>
  <c r="D172" i="4"/>
  <c r="D174" i="4"/>
  <c r="B178" i="4"/>
  <c r="C419" i="1"/>
  <c r="C429" i="1"/>
  <c r="D429" i="1" s="1"/>
  <c r="D179" i="4" l="1"/>
  <c r="B183" i="4"/>
  <c r="D181" i="4" s="1"/>
  <c r="D176" i="4"/>
  <c r="D178" i="4"/>
  <c r="B182" i="4"/>
  <c r="D180" i="4" s="1"/>
  <c r="D420" i="1"/>
  <c r="D419" i="1"/>
  <c r="C430" i="1"/>
  <c r="D430" i="1" s="1"/>
  <c r="C431" i="1" l="1"/>
  <c r="D431" i="1" s="1"/>
  <c r="C432" i="1" l="1"/>
  <c r="D432" i="1" s="1"/>
  <c r="C433" i="1" l="1"/>
  <c r="D433" i="1" s="1"/>
  <c r="C434" i="1" l="1"/>
  <c r="D434" i="1" s="1"/>
  <c r="C435" i="1" l="1"/>
  <c r="D435" i="1" s="1"/>
  <c r="C436" i="1" l="1"/>
  <c r="D436" i="1" s="1"/>
  <c r="C437" i="1" l="1"/>
  <c r="D437" i="1" s="1"/>
  <c r="C438" i="1" l="1"/>
  <c r="D438" i="1" s="1"/>
  <c r="C439" i="1" l="1"/>
  <c r="D439" i="1" s="1"/>
  <c r="C440" i="1" l="1"/>
  <c r="D440" i="1" s="1"/>
  <c r="C441" i="1" l="1"/>
  <c r="D441" i="1" s="1"/>
  <c r="C442" i="1" l="1"/>
  <c r="D442" i="1" s="1"/>
  <c r="C443" i="1" l="1"/>
  <c r="D443" i="1" s="1"/>
  <c r="C444" i="1" l="1"/>
  <c r="D444" i="1" s="1"/>
  <c r="C445" i="1" l="1"/>
  <c r="D445" i="1" s="1"/>
  <c r="C446" i="1" l="1"/>
  <c r="D446" i="1" s="1"/>
  <c r="C447" i="1" l="1"/>
  <c r="D447" i="1" s="1"/>
  <c r="C448" i="1" l="1"/>
  <c r="D448" i="1" s="1"/>
  <c r="C449" i="1" l="1"/>
  <c r="D449" i="1" s="1"/>
  <c r="C450" i="1" l="1"/>
  <c r="D450" i="1" s="1"/>
  <c r="C451" i="1" l="1"/>
  <c r="D451" i="1" s="1"/>
  <c r="C452" i="1" l="1"/>
  <c r="D452" i="1" s="1"/>
  <c r="C453" i="1" l="1"/>
  <c r="D453" i="1" s="1"/>
  <c r="C454" i="1" l="1"/>
  <c r="D454" i="1" s="1"/>
  <c r="C455" i="1" l="1"/>
  <c r="D455" i="1" s="1"/>
  <c r="C456" i="1" l="1"/>
  <c r="D456" i="1" s="1"/>
  <c r="C457" i="1" l="1"/>
  <c r="D457" i="1" s="1"/>
  <c r="C458" i="1" l="1"/>
  <c r="D458" i="1" s="1"/>
  <c r="C459" i="1" l="1"/>
  <c r="D459" i="1" s="1"/>
  <c r="C460" i="1" l="1"/>
  <c r="D460" i="1" s="1"/>
  <c r="C461" i="1" l="1"/>
  <c r="D461" i="1" s="1"/>
  <c r="C462" i="1" l="1"/>
  <c r="D462" i="1" s="1"/>
  <c r="C463" i="1" l="1"/>
  <c r="D463" i="1" s="1"/>
  <c r="C464" i="1" l="1"/>
  <c r="D464" i="1" s="1"/>
  <c r="C465" i="1" l="1"/>
  <c r="D465" i="1" s="1"/>
  <c r="C466" i="1" l="1"/>
  <c r="D466" i="1" s="1"/>
  <c r="C467" i="1" l="1"/>
  <c r="D467" i="1" s="1"/>
  <c r="C468" i="1" l="1"/>
  <c r="D468" i="1" s="1"/>
  <c r="C469" i="1" l="1"/>
  <c r="D469" i="1" s="1"/>
  <c r="E468" i="1" l="1"/>
  <c r="E459" i="1"/>
  <c r="E414" i="1"/>
  <c r="F414" i="1" s="1"/>
  <c r="E428" i="1"/>
  <c r="E409" i="1"/>
  <c r="F409" i="1" s="1"/>
  <c r="E464" i="1"/>
  <c r="E436" i="1"/>
  <c r="E453" i="1"/>
  <c r="E460" i="1"/>
  <c r="E416" i="1"/>
  <c r="F416" i="1" s="1"/>
  <c r="E463" i="1"/>
  <c r="E443" i="1"/>
  <c r="E466" i="1"/>
  <c r="E427" i="1"/>
  <c r="E437" i="1"/>
  <c r="E446" i="1"/>
  <c r="E413" i="1"/>
  <c r="F413" i="1" s="1"/>
  <c r="E420" i="1"/>
  <c r="F420" i="1" s="1"/>
  <c r="E457" i="1"/>
  <c r="E430" i="1"/>
  <c r="E412" i="1"/>
  <c r="F412" i="1" s="1"/>
  <c r="E465" i="1"/>
  <c r="E445" i="1"/>
  <c r="E411" i="1"/>
  <c r="F411" i="1" s="1"/>
  <c r="E418" i="1"/>
  <c r="F418" i="1" s="1"/>
  <c r="E461" i="1"/>
  <c r="E431" i="1"/>
  <c r="E423" i="1"/>
  <c r="E447" i="1"/>
  <c r="E454" i="1"/>
  <c r="E426" i="1"/>
  <c r="E444" i="1"/>
  <c r="E439" i="1"/>
  <c r="E451" i="1"/>
  <c r="E429" i="1"/>
  <c r="E456" i="1"/>
  <c r="E415" i="1"/>
  <c r="F415" i="1" s="1"/>
  <c r="E421" i="1"/>
  <c r="E442" i="1"/>
  <c r="E417" i="1"/>
  <c r="F417" i="1" s="1"/>
  <c r="E441" i="1"/>
  <c r="E458" i="1"/>
  <c r="E410" i="1"/>
  <c r="F410" i="1" s="1"/>
  <c r="E448" i="1"/>
  <c r="E435" i="1"/>
  <c r="E432" i="1"/>
  <c r="E408" i="1"/>
  <c r="E440" i="1"/>
  <c r="E425" i="1"/>
  <c r="E433" i="1"/>
  <c r="E438" i="1"/>
  <c r="E450" i="1"/>
  <c r="E455" i="1"/>
  <c r="E449" i="1"/>
  <c r="E452" i="1"/>
  <c r="E462" i="1"/>
  <c r="E422" i="1"/>
  <c r="E424" i="1"/>
  <c r="E419" i="1"/>
  <c r="F419" i="1" s="1"/>
  <c r="E434" i="1"/>
  <c r="E467" i="1"/>
  <c r="F408" i="1" l="1"/>
  <c r="B473" i="1" s="1"/>
  <c r="F424" i="1" l="1"/>
  <c r="F425" i="1"/>
  <c r="F427" i="1"/>
  <c r="F421" i="1"/>
  <c r="B474" i="1" s="1"/>
  <c r="F428" i="1"/>
  <c r="F426" i="1"/>
  <c r="F423" i="1"/>
  <c r="F422" i="1"/>
  <c r="B475" i="1" l="1"/>
  <c r="F432" i="1"/>
  <c r="F430" i="1"/>
  <c r="F433" i="1"/>
  <c r="F429" i="1"/>
  <c r="B476" i="1" s="1"/>
  <c r="F431" i="1"/>
  <c r="F441" i="1" l="1"/>
  <c r="F466" i="1"/>
  <c r="F434" i="1"/>
  <c r="F446" i="1"/>
  <c r="F439" i="1"/>
  <c r="F453" i="1"/>
  <c r="F445" i="1"/>
  <c r="F440" i="1"/>
  <c r="F442" i="1"/>
  <c r="F455" i="1"/>
  <c r="F452" i="1"/>
  <c r="F458" i="1"/>
  <c r="F468" i="1"/>
  <c r="F450" i="1"/>
  <c r="F465" i="1"/>
  <c r="F451" i="1"/>
  <c r="F463" i="1"/>
  <c r="F460" i="1"/>
  <c r="F449" i="1"/>
  <c r="F456" i="1"/>
  <c r="F461" i="1"/>
  <c r="F436" i="1"/>
  <c r="F467" i="1"/>
  <c r="F444" i="1"/>
  <c r="F462" i="1"/>
  <c r="F438" i="1"/>
  <c r="F443" i="1"/>
  <c r="F437" i="1"/>
  <c r="F454" i="1"/>
  <c r="F464" i="1"/>
  <c r="F435" i="1"/>
  <c r="F448" i="1"/>
  <c r="F459" i="1"/>
  <c r="F457" i="1"/>
  <c r="F447" i="1"/>
  <c r="B477" i="1" l="1"/>
  <c r="B525" i="1" s="1"/>
  <c r="C121" i="3" s="1"/>
  <c r="B526" i="1" l="1"/>
  <c r="B527" i="1" s="1"/>
  <c r="E120" i="3"/>
  <c r="BV136" i="3" s="1"/>
  <c r="C122" i="3" l="1"/>
  <c r="E122" i="3" s="1"/>
  <c r="BX136" i="3" s="1"/>
  <c r="C123" i="3" l="1"/>
  <c r="E123" i="3" s="1"/>
  <c r="CA136" i="3" s="1"/>
  <c r="E121" i="3"/>
  <c r="BW136" i="3" s="1"/>
  <c r="CB136" i="3" l="1"/>
  <c r="BY13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tc={28271B99-BB2C-44E0-92D0-34F339AE2375}</author>
  </authors>
  <commentList>
    <comment ref="B41" authorId="0" shapeId="0" xr:uid="{28271B99-BB2C-44E0-92D0-34F339AE237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Special case - typing zero here discounts it in the lifetime earnings model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tc={71D4E2F4-38DB-48D9-BB65-27385950FBF6}</author>
    <author>tc={CCF4744F-31BE-48D9-8473-EB990E9754A6}</author>
  </authors>
  <commentList>
    <comment ref="B5" authorId="0" shapeId="0" xr:uid="{71D4E2F4-38DB-48D9-BB65-27385950FBF6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DairyNZ Economic Survey 2023-24</t>
      </text>
    </comment>
    <comment ref="B6" authorId="1" shapeId="0" xr:uid="{CCF4744F-31BE-48D9-8473-EB990E9754A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Assumption
- Previous workshops to crowdsource this assumption typically arrive at estimates between 30% and 70%
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tc={C3CE5587-4E27-494C-B0E5-00DC18C3D6FB}</author>
    <author>tc={BFDBCF0A-A616-4219-A28F-192DC63F07E1}</author>
    <author>tc={44DC9A05-BE5B-4549-BBA4-6198C3C14699}</author>
    <author>tc={748B01C1-82AC-4EE2-AAFA-5D76C851F46C}</author>
    <author>tc={3BB967C9-B023-4459-A39C-7CE506B62024}</author>
  </authors>
  <commentList>
    <comment ref="F6" authorId="0" shapeId="0" xr:uid="{C3CE5587-4E27-494C-B0E5-00DC18C3D6FB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Based on the 0.6 economies of scale rule used in engineering</t>
      </text>
    </comment>
    <comment ref="F7" authorId="1" shapeId="0" xr:uid="{BFDBCF0A-A616-4219-A28F-192DC63F07E1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Assume only minor economies of scale</t>
      </text>
    </comment>
    <comment ref="F8" authorId="2" shapeId="0" xr:uid="{44DC9A05-BE5B-4549-BBA4-6198C3C1469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Assume no economies of scale
</t>
      </text>
    </comment>
    <comment ref="F9" authorId="3" shapeId="0" xr:uid="{748B01C1-82AC-4EE2-AAFA-5D76C851F46C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Assume close to classroom learning</t>
      </text>
    </comment>
    <comment ref="F10" authorId="4" shapeId="0" xr:uid="{3BB967C9-B023-4459-A39C-7CE506B62024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Assume only minor economies of scale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<sst xmlns="http://schemas.openxmlformats.org/spreadsheetml/2006/main" count="1056" uniqueCount="590">
  <si>
    <t>Dairy farming</t>
  </si>
  <si>
    <t>Business management</t>
  </si>
  <si>
    <t>Role</t>
  </si>
  <si>
    <t>Proportion of workforce</t>
  </si>
  <si>
    <t>Number of people</t>
  </si>
  <si>
    <t>Manager</t>
  </si>
  <si>
    <t>Semi-autonomous</t>
  </si>
  <si>
    <t>Managed</t>
  </si>
  <si>
    <t>Total</t>
  </si>
  <si>
    <t>Production management</t>
  </si>
  <si>
    <t>Strategic manager</t>
  </si>
  <si>
    <t>Relative potential contribution to profitability per role with role ratio</t>
  </si>
  <si>
    <t>Share of team capability made up by role and capability area</t>
  </si>
  <si>
    <t>Relative influence of 1 FTE by role and capability area</t>
  </si>
  <si>
    <t xml:space="preserve">Proportion of variance due to differences in human capital </t>
  </si>
  <si>
    <t xml:space="preserve">Standard deviation of annual profitability ($ per ha) </t>
  </si>
  <si>
    <t>Size of average dairy farm (ha)</t>
  </si>
  <si>
    <t>Number of staff on an average dairy farm (ha)</t>
  </si>
  <si>
    <t>Number of farm staff (ha per FTE)</t>
  </si>
  <si>
    <t xml:space="preserve">Standard deviation variation of annual profitability due to human capability ($ per ha) </t>
  </si>
  <si>
    <t xml:space="preserve">Standard deviation variation of annual profitability due to human capability ($ per farm) </t>
  </si>
  <si>
    <t>Capability areas</t>
  </si>
  <si>
    <t>Impact of team capability on business profits (using dairy farming as a reference industry)</t>
  </si>
  <si>
    <t>Team capability (using dairy farming as a reference industry)</t>
  </si>
  <si>
    <t>Role ratios</t>
  </si>
  <si>
    <t>Farm team size</t>
  </si>
  <si>
    <t># per average-sized business</t>
  </si>
  <si>
    <t>Weighted team role contribution</t>
  </si>
  <si>
    <t>Number of roles per business</t>
  </si>
  <si>
    <t>Relative role influence</t>
  </si>
  <si>
    <t>Role influence (ratio)</t>
  </si>
  <si>
    <t>Interim result</t>
  </si>
  <si>
    <t>Profit influence by role and capability area</t>
  </si>
  <si>
    <t>Individual capability</t>
  </si>
  <si>
    <t>Relative value of prior experience</t>
  </si>
  <si>
    <t>Other food and fibre</t>
  </si>
  <si>
    <t>Other workforce</t>
  </si>
  <si>
    <t>Apiculture</t>
  </si>
  <si>
    <t>Arable</t>
  </si>
  <si>
    <t>Equine, dogs and racing</t>
  </si>
  <si>
    <t>Forestry</t>
  </si>
  <si>
    <t>Fruit</t>
  </si>
  <si>
    <t>Grapes and wine</t>
  </si>
  <si>
    <t>Nursery, turf and gardening</t>
  </si>
  <si>
    <t>Poultry, pigs and other livestock farming</t>
  </si>
  <si>
    <t>Seafood - production</t>
  </si>
  <si>
    <t>Seafood - processing</t>
  </si>
  <si>
    <t>Sheep, beef and deer farming</t>
  </si>
  <si>
    <t>Support services</t>
  </si>
  <si>
    <t>Vegetables</t>
  </si>
  <si>
    <t>Veterinary</t>
  </si>
  <si>
    <t xml:space="preserve">Time to become fully proficient </t>
  </si>
  <si>
    <t>Time to become fully proficient (years)</t>
  </si>
  <si>
    <t>Impact of experience</t>
  </si>
  <si>
    <t>Impact of innate ability</t>
  </si>
  <si>
    <t>One standard deviation of innate ability is equal to what proportion of the proficiency gap?</t>
  </si>
  <si>
    <t>Inputs for interim result</t>
  </si>
  <si>
    <t xml:space="preserve">Capability area </t>
  </si>
  <si>
    <t>Industry</t>
  </si>
  <si>
    <t>Years of experience</t>
  </si>
  <si>
    <t>Years to become fully proficient</t>
  </si>
  <si>
    <t>Impact of experience on proficiency</t>
  </si>
  <si>
    <t>Average innate ability</t>
  </si>
  <si>
    <t>+ 3sd innate ability</t>
  </si>
  <si>
    <t>+ 2sd innate ability</t>
  </si>
  <si>
    <t>+ 1sd innate ability</t>
  </si>
  <si>
    <t>- 1sd innate ability</t>
  </si>
  <si>
    <t>- 2sd innate ability</t>
  </si>
  <si>
    <t>- 3sd innate ability</t>
  </si>
  <si>
    <t xml:space="preserve">Impact of reference training </t>
  </si>
  <si>
    <t>Multiplier for a reference qualification</t>
  </si>
  <si>
    <t>With reference training</t>
  </si>
  <si>
    <t>Training duration</t>
  </si>
  <si>
    <t>Hours in reference training programme</t>
  </si>
  <si>
    <t>Hours in subject training programme</t>
  </si>
  <si>
    <t>Exponent for diminishing returns curve</t>
  </si>
  <si>
    <t>Hours in programme</t>
  </si>
  <si>
    <t>M(duration)</t>
  </si>
  <si>
    <t>Non-formal</t>
  </si>
  <si>
    <t>NZQF level</t>
  </si>
  <si>
    <t>L10</t>
  </si>
  <si>
    <t>L9</t>
  </si>
  <si>
    <t>L8</t>
  </si>
  <si>
    <t>L7</t>
  </si>
  <si>
    <t>L6</t>
  </si>
  <si>
    <t>L5</t>
  </si>
  <si>
    <t>L4</t>
  </si>
  <si>
    <t>L3</t>
  </si>
  <si>
    <t>L2</t>
  </si>
  <si>
    <t>L1</t>
  </si>
  <si>
    <t>Delivery mode</t>
  </si>
  <si>
    <t>One-to-one coaching</t>
  </si>
  <si>
    <t>50-99% complete</t>
  </si>
  <si>
    <t>20-49% complete</t>
  </si>
  <si>
    <t>less than 20%</t>
  </si>
  <si>
    <t>Delivery quality</t>
  </si>
  <si>
    <t>Good</t>
  </si>
  <si>
    <t>Excellent</t>
  </si>
  <si>
    <t>Not acceptable</t>
  </si>
  <si>
    <t>Workplace support</t>
  </si>
  <si>
    <t>Workplace support by NZQA level</t>
  </si>
  <si>
    <t>Training modifiers (general)</t>
  </si>
  <si>
    <t>Training modifier (NZSCED, industry, capability area)</t>
  </si>
  <si>
    <t>9999</t>
  </si>
  <si>
    <t xml:space="preserve">Assume weakly relevant is the minimum average for any qualification </t>
  </si>
  <si>
    <t>0109</t>
  </si>
  <si>
    <t>Biological Sciences</t>
  </si>
  <si>
    <t>Assume moderately relevant to all F&amp;F industries</t>
  </si>
  <si>
    <t>0199</t>
  </si>
  <si>
    <t>Other Natural and Physical Sciences</t>
  </si>
  <si>
    <t>Assume partially relevant to all</t>
  </si>
  <si>
    <t>0301</t>
  </si>
  <si>
    <t>Manufacturing, Engineering and Technology</t>
  </si>
  <si>
    <t>Assume weakly relevant to all</t>
  </si>
  <si>
    <t>0303</t>
  </si>
  <si>
    <t>Process and Resources Engineering</t>
  </si>
  <si>
    <t>Assume moderately relevant to F&amp;F industries with a processing component</t>
  </si>
  <si>
    <t>0317</t>
  </si>
  <si>
    <t>Maritime Engineering and Technology</t>
  </si>
  <si>
    <t>Weakly relevant to all but seafood</t>
  </si>
  <si>
    <t>050101</t>
  </si>
  <si>
    <t>Agricultural Science</t>
  </si>
  <si>
    <t>Assume mainly aimed at pastoral agriculture but variable relevance to all</t>
  </si>
  <si>
    <t>050103</t>
  </si>
  <si>
    <t>Wool and Fibre Science</t>
  </si>
  <si>
    <t>Assume any 05 has at least slight relevance for any F&amp;F indstry. Direct relevance to sheep</t>
  </si>
  <si>
    <t>050104</t>
  </si>
  <si>
    <t>Beekeeping</t>
  </si>
  <si>
    <t>Assume any 05 has at least slight relevance for any F&amp;F indstry. Direct relevance to apiculture only</t>
  </si>
  <si>
    <t>050105</t>
  </si>
  <si>
    <t>Animal Husbandry</t>
  </si>
  <si>
    <t>050106</t>
  </si>
  <si>
    <t>Crop production</t>
  </si>
  <si>
    <t>Variable relevance for any sector that involves growing plants</t>
  </si>
  <si>
    <t>050108</t>
  </si>
  <si>
    <t>Equine trades</t>
  </si>
  <si>
    <t>Direct for equine.  Slightly higher relevance for any sector that invovles large animals</t>
  </si>
  <si>
    <t>050110</t>
  </si>
  <si>
    <t>Wool and fibre harvesting</t>
  </si>
  <si>
    <t>Direct for S&amp;B.  Also support services</t>
  </si>
  <si>
    <t>050112</t>
  </si>
  <si>
    <t>General Land Skills</t>
  </si>
  <si>
    <t>Weight land-based industries</t>
  </si>
  <si>
    <t>050199</t>
  </si>
  <si>
    <t>Agriculture not elsewhere classified</t>
  </si>
  <si>
    <t>Probably a random assortment - make 20% except for pastoral and support</t>
  </si>
  <si>
    <t>050301</t>
  </si>
  <si>
    <t>Horticulture</t>
  </si>
  <si>
    <t>050303</t>
  </si>
  <si>
    <t>Viticulture</t>
  </si>
  <si>
    <t>050501</t>
  </si>
  <si>
    <t>Forestry Studies</t>
  </si>
  <si>
    <t>050502</t>
  </si>
  <si>
    <t>Solid wood processing</t>
  </si>
  <si>
    <t>Processing c.f. producion -&gt; demote to 10% other than forestry</t>
  </si>
  <si>
    <t>050701</t>
  </si>
  <si>
    <t>Aquaculture</t>
  </si>
  <si>
    <t>Essentially seafood only.</t>
  </si>
  <si>
    <t>050702</t>
  </si>
  <si>
    <t>Seafood Harvesting (Fishing)</t>
  </si>
  <si>
    <t>050799</t>
  </si>
  <si>
    <t>Fisheries studies not elsewhere classified</t>
  </si>
  <si>
    <t>050901</t>
  </si>
  <si>
    <t>Land, parks and wildlife management</t>
  </si>
  <si>
    <t>Direct relevance to ammenity hort.</t>
  </si>
  <si>
    <t>050902</t>
  </si>
  <si>
    <t>Environmental Sustainability</t>
  </si>
  <si>
    <t>Assume slightly to moderately relevant across the board</t>
  </si>
  <si>
    <t>050999</t>
  </si>
  <si>
    <t>Environmental Studies not elsewhere classified</t>
  </si>
  <si>
    <t>059901</t>
  </si>
  <si>
    <t>Pest and Weed Control</t>
  </si>
  <si>
    <t>059999</t>
  </si>
  <si>
    <t>Agriculture, Environmental and Related Studies not elsewhere classified</t>
  </si>
  <si>
    <t>0611</t>
  </si>
  <si>
    <t>Veterinary Studies</t>
  </si>
  <si>
    <t>Variable relevance for secotrs with animals</t>
  </si>
  <si>
    <t>0613</t>
  </si>
  <si>
    <t>Public Health</t>
  </si>
  <si>
    <t>0699</t>
  </si>
  <si>
    <t>Other Health</t>
  </si>
  <si>
    <t>0803</t>
  </si>
  <si>
    <t>Business and Management</t>
  </si>
  <si>
    <t>0805</t>
  </si>
  <si>
    <t>Sales and Marketing</t>
  </si>
  <si>
    <t>0809</t>
  </si>
  <si>
    <t>Office Administration</t>
  </si>
  <si>
    <t>0811</t>
  </si>
  <si>
    <t>Banking, Finance and Related Fields</t>
  </si>
  <si>
    <t>Relative size of BM relevancy compared to PM relevancy for high level NZSCEDS:</t>
  </si>
  <si>
    <t>03</t>
  </si>
  <si>
    <t>05</t>
  </si>
  <si>
    <t>Assume slight relevance</t>
  </si>
  <si>
    <t>Assume proportional of PM benefit. Minimum of 10%.</t>
  </si>
  <si>
    <t>Use same logic as 05 codes</t>
  </si>
  <si>
    <t xml:space="preserve">Higher in businesses that could see the business owner invovled in sales </t>
  </si>
  <si>
    <t>NZSCED label</t>
  </si>
  <si>
    <t>NZSCED code</t>
  </si>
  <si>
    <t>Other</t>
  </si>
  <si>
    <t>Training time in industry</t>
  </si>
  <si>
    <t>Year</t>
  </si>
  <si>
    <t xml:space="preserve">Retention of previous year group </t>
  </si>
  <si>
    <t>Retained proportion of starting cohort</t>
  </si>
  <si>
    <t>Departees as proportion of starting cohort</t>
  </si>
  <si>
    <t>Expected number of total years in industry</t>
  </si>
  <si>
    <t>Expected number of years remaining in industry</t>
  </si>
  <si>
    <t>Expected years remaining in industry</t>
  </si>
  <si>
    <t>Target audience groups by experience in the industry at time of training</t>
  </si>
  <si>
    <t>Less than 1 year</t>
  </si>
  <si>
    <t>1 to 2 years</t>
  </si>
  <si>
    <t>2 to 4 years</t>
  </si>
  <si>
    <t>5 to 10 years</t>
  </si>
  <si>
    <t>10+ years</t>
  </si>
  <si>
    <t>Industry generalisation</t>
  </si>
  <si>
    <t xml:space="preserve">Industry </t>
  </si>
  <si>
    <t>GDP per worker</t>
  </si>
  <si>
    <t>Impact relative to dairy farming</t>
  </si>
  <si>
    <t>Calculations</t>
  </si>
  <si>
    <t>Programme name</t>
  </si>
  <si>
    <t>Reference</t>
  </si>
  <si>
    <t>Training programme description</t>
  </si>
  <si>
    <t>Duration (Learning hours)</t>
  </si>
  <si>
    <t>Roles</t>
  </si>
  <si>
    <t>Industries</t>
  </si>
  <si>
    <t>NZQF levels</t>
  </si>
  <si>
    <t>NZSCED description</t>
  </si>
  <si>
    <t xml:space="preserve">Target learners </t>
  </si>
  <si>
    <t>By role</t>
  </si>
  <si>
    <t>By years of experience in industry</t>
  </si>
  <si>
    <t>Industry experience bands</t>
  </si>
  <si>
    <t>By industry</t>
  </si>
  <si>
    <t>Overview</t>
  </si>
  <si>
    <t>Delivery modes</t>
  </si>
  <si>
    <t>Fully complete</t>
  </si>
  <si>
    <t>Typical</t>
  </si>
  <si>
    <t>No prior tertiary qualification</t>
  </si>
  <si>
    <t>Expected completion rates</t>
  </si>
  <si>
    <t>Proportion of starting cohort</t>
  </si>
  <si>
    <t>Proportion of learning hours</t>
  </si>
  <si>
    <t>Completion proportion</t>
  </si>
  <si>
    <t>Expected person-years of impact for industry</t>
  </si>
  <si>
    <t>Duration</t>
  </si>
  <si>
    <t>Role weighted</t>
  </si>
  <si>
    <t>Reference programme impact / 1 sd of innate impact</t>
  </si>
  <si>
    <t>Impact of a reference qual ($/year)</t>
  </si>
  <si>
    <t>Relevance modifier</t>
  </si>
  <si>
    <t>Training modifier (NZSCED and industry)</t>
  </si>
  <si>
    <t xml:space="preserve">Relevance for NZSCED </t>
  </si>
  <si>
    <t>Industry targeting</t>
  </si>
  <si>
    <t>Total annual profit impact ($/year)</t>
  </si>
  <si>
    <t>Years equivilence to working in relevant industry</t>
  </si>
  <si>
    <t>ID</t>
  </si>
  <si>
    <t>Expected completion rate</t>
  </si>
  <si>
    <t>Reference training programme</t>
  </si>
  <si>
    <t>Self-assessment vs Excellence Framework</t>
  </si>
  <si>
    <t>Delivery</t>
  </si>
  <si>
    <t>Current values</t>
  </si>
  <si>
    <t>Prior training</t>
  </si>
  <si>
    <t>Replacement values</t>
  </si>
  <si>
    <t>P0001</t>
  </si>
  <si>
    <t>P0003</t>
  </si>
  <si>
    <t>P0004</t>
  </si>
  <si>
    <t>P0005</t>
  </si>
  <si>
    <t>P0006</t>
  </si>
  <si>
    <t>P0007</t>
  </si>
  <si>
    <t>P0008</t>
  </si>
  <si>
    <t>P0009</t>
  </si>
  <si>
    <t>P0010</t>
  </si>
  <si>
    <t>P0011</t>
  </si>
  <si>
    <t>P0012</t>
  </si>
  <si>
    <t>P0013</t>
  </si>
  <si>
    <t>P0014</t>
  </si>
  <si>
    <t>P0015</t>
  </si>
  <si>
    <t>P0016</t>
  </si>
  <si>
    <t>P0017</t>
  </si>
  <si>
    <t>P0018</t>
  </si>
  <si>
    <t>P0019</t>
  </si>
  <si>
    <t>P0020</t>
  </si>
  <si>
    <t>P0002</t>
  </si>
  <si>
    <t>Content of this spreadsheet</t>
  </si>
  <si>
    <t>Contents</t>
  </si>
  <si>
    <t>This tab</t>
  </si>
  <si>
    <t>Description</t>
  </si>
  <si>
    <t>Lists</t>
  </si>
  <si>
    <t>Training programme data entry</t>
  </si>
  <si>
    <t>A screen to assist in entering data about a training programme into the training programme data table</t>
  </si>
  <si>
    <t>Training programme data table</t>
  </si>
  <si>
    <t>A table of data about selected training programmes</t>
  </si>
  <si>
    <t>Business profitability model</t>
  </si>
  <si>
    <t>Lifetime earnings model</t>
  </si>
  <si>
    <t>Delivery cost model</t>
  </si>
  <si>
    <t>Training programme dashboard</t>
  </si>
  <si>
    <t>Investment portfolio</t>
  </si>
  <si>
    <t>The inputs and calculations for a model to estimate the impact that a training programme will have on industry profitability</t>
  </si>
  <si>
    <t>The inputs and calculations for a model to estimate the impact that a training programme will have on learner lifetime earnings</t>
  </si>
  <si>
    <t>The inputs and calculations for a model to estimate the costs to deliver a training programme</t>
  </si>
  <si>
    <t>A dashboard to visualise key information - inputs and outputs - for an individual training programme</t>
  </si>
  <si>
    <t>A dashboard to compare the value-to-cost ratio of of all training programmes in the data table</t>
  </si>
  <si>
    <t>Values to write to data table</t>
  </si>
  <si>
    <t xml:space="preserve">New values </t>
  </si>
  <si>
    <t>This tab contains a set of lists and small tables that are referenced elsewhere in the spredsheet. Any updates to these tables should be made here rather than elsewhere.</t>
  </si>
  <si>
    <t>This tab contains the inputs and calculations for a model to estimate the impact of training programmes on industry profitability.   A description of this model is provided in the PowerPoint document - 'Training to Profit'</t>
  </si>
  <si>
    <t>Model outputs</t>
  </si>
  <si>
    <t>Business profitability</t>
  </si>
  <si>
    <t>Learner lifetime earnings</t>
  </si>
  <si>
    <t>This tab contains a table with all input data, and selected output data, to describe a training programme</t>
  </si>
  <si>
    <t>Total impact on industry profits (range)</t>
  </si>
  <si>
    <t>Output range - lower</t>
  </si>
  <si>
    <t>Output range - mid</t>
  </si>
  <si>
    <t>Output range</t>
  </si>
  <si>
    <t>Outcome weighting</t>
  </si>
  <si>
    <t>A tool to weight different outcomes to allow different meausres of training outcomes to be combined into a single measure of overall value</t>
  </si>
  <si>
    <t>Relativity to average</t>
  </si>
  <si>
    <t>Lifetime earnings (NZ$)</t>
  </si>
  <si>
    <t>Proportion due to causality</t>
  </si>
  <si>
    <t>NZQA level</t>
  </si>
  <si>
    <t>Credits</t>
  </si>
  <si>
    <t>Outcome summary</t>
  </si>
  <si>
    <t>Provider</t>
  </si>
  <si>
    <t>Programme type</t>
  </si>
  <si>
    <t>Diploma</t>
  </si>
  <si>
    <t>Certificate</t>
  </si>
  <si>
    <t>Degree</t>
  </si>
  <si>
    <t>Appenticeship</t>
  </si>
  <si>
    <t>Micro-credential</t>
  </si>
  <si>
    <t xml:space="preserve">Prior training </t>
  </si>
  <si>
    <t>Anticipated volume (new enrolments per year)</t>
  </si>
  <si>
    <t>Volumes</t>
  </si>
  <si>
    <t>Industry relevant qualification</t>
  </si>
  <si>
    <t>By prior qualification</t>
  </si>
  <si>
    <t>Industry relevant - L10</t>
  </si>
  <si>
    <t>Industry relevant - L9</t>
  </si>
  <si>
    <t>Industry relevant - L8</t>
  </si>
  <si>
    <t>Industry relevant - L7</t>
  </si>
  <si>
    <t>Industry relevant - L6</t>
  </si>
  <si>
    <t>Industry relevant - L5</t>
  </si>
  <si>
    <t>Industry relevant - L4</t>
  </si>
  <si>
    <t>Industry relevant - L3</t>
  </si>
  <si>
    <t>Industry relevant - L2</t>
  </si>
  <si>
    <t>Industry relevant - L1</t>
  </si>
  <si>
    <t>Other - L10</t>
  </si>
  <si>
    <t>Other - L9</t>
  </si>
  <si>
    <t>Other - L8</t>
  </si>
  <si>
    <t>Other - L7</t>
  </si>
  <si>
    <t>Other - L6</t>
  </si>
  <si>
    <t>Other - L5</t>
  </si>
  <si>
    <t>Other - L4</t>
  </si>
  <si>
    <t>Other - L3</t>
  </si>
  <si>
    <t>Other - L2</t>
  </si>
  <si>
    <t>Other - L1</t>
  </si>
  <si>
    <t>Food and fibre training group</t>
  </si>
  <si>
    <t>No previous training</t>
  </si>
  <si>
    <t>Duplicate, industry-relevant qual at same level</t>
  </si>
  <si>
    <t>Duplicate, other qual at same level</t>
  </si>
  <si>
    <t xml:space="preserve">Decrement for each level below prior qualification  </t>
  </si>
  <si>
    <t xml:space="preserve">Increment for each level above prior qualification  </t>
  </si>
  <si>
    <t>This tab contains the inputs and calculations for a model to estimate the impact of training programmes on learners' lifetime earnings</t>
  </si>
  <si>
    <t>Reference highest qualification level</t>
  </si>
  <si>
    <t>None</t>
  </si>
  <si>
    <t>NCEA - L1</t>
  </si>
  <si>
    <t>S1</t>
  </si>
  <si>
    <t>NCEA - L2</t>
  </si>
  <si>
    <t>S2</t>
  </si>
  <si>
    <t>NCEA - L3</t>
  </si>
  <si>
    <t>S3</t>
  </si>
  <si>
    <t>Certificate - L2 - 60 credits</t>
  </si>
  <si>
    <t>Certificate - L3 - 60 credits</t>
  </si>
  <si>
    <t>Apprenticeship - L4 - 240 credits</t>
  </si>
  <si>
    <t>Diploma - L5 - 120 credits</t>
  </si>
  <si>
    <t>Diploma - L6 - 120 credits</t>
  </si>
  <si>
    <t>Degreee - L7 - 360 credits</t>
  </si>
  <si>
    <t>Post-grad diploma - 120 credits</t>
  </si>
  <si>
    <t>Masters degree - 240 credits</t>
  </si>
  <si>
    <t>Doctorate - 360 credits</t>
  </si>
  <si>
    <t>A list of ideas to refine this tool</t>
  </si>
  <si>
    <t>Improvements</t>
  </si>
  <si>
    <t>Mapping</t>
  </si>
  <si>
    <t>Other qualification</t>
  </si>
  <si>
    <t>No tertiary</t>
  </si>
  <si>
    <t>Mapped numbers</t>
  </si>
  <si>
    <t>Details of selected programme</t>
  </si>
  <si>
    <t>Prior qual proportion</t>
  </si>
  <si>
    <t>Prior qual credits</t>
  </si>
  <si>
    <t>Diminishing returns exponent</t>
  </si>
  <si>
    <t>Average lifetime earnings for all qualification levels ($)</t>
  </si>
  <si>
    <t>Prior qual NZQF level</t>
  </si>
  <si>
    <t>NZQF level (number only)</t>
  </si>
  <si>
    <t>Number</t>
  </si>
  <si>
    <t>X</t>
  </si>
  <si>
    <t>Income increment without credit scaling</t>
  </si>
  <si>
    <t>Credit scaling</t>
  </si>
  <si>
    <t>Average impact on learner lifetime earnings - exact ($)</t>
  </si>
  <si>
    <t>Average impact on learner lifetime earnings - range ($)</t>
  </si>
  <si>
    <t>Self-directed learning</t>
  </si>
  <si>
    <t>Development costs</t>
  </si>
  <si>
    <t>Costs to develop</t>
  </si>
  <si>
    <t>Expected lifetime (years)</t>
  </si>
  <si>
    <t>Delivery costs</t>
  </si>
  <si>
    <t>Class size adjustment</t>
  </si>
  <si>
    <t>Anticipated class size</t>
  </si>
  <si>
    <t>Cost of delivery</t>
  </si>
  <si>
    <t>Online (synchronous)</t>
  </si>
  <si>
    <t>Cost assumptions</t>
  </si>
  <si>
    <t>Delivery mix</t>
  </si>
  <si>
    <t>Cost per learner ($)</t>
  </si>
  <si>
    <t>Programme details</t>
  </si>
  <si>
    <t>This tab contains the inputs and calculations for a model to estimate the cost to develop and deliver a programme. At this stage the model uses semi-placeholder data only.</t>
  </si>
  <si>
    <t>20,000 to 50,000</t>
  </si>
  <si>
    <t>300,000 to 1,000,000</t>
  </si>
  <si>
    <t>Total cost ($ per EFTS)</t>
  </si>
  <si>
    <t>Development costs ($ per learner)</t>
  </si>
  <si>
    <t>Development costs ($ per EFTS)</t>
  </si>
  <si>
    <t>Total cost ($ per learner)</t>
  </si>
  <si>
    <t>Variable cost ($ per learner)</t>
  </si>
  <si>
    <t>Variable cost ($ per EFTS)</t>
  </si>
  <si>
    <t>200,000 to 500,000</t>
  </si>
  <si>
    <t>3,000 to 10,000</t>
  </si>
  <si>
    <t>100,000 to 300,000</t>
  </si>
  <si>
    <t>2,000 to 5,000</t>
  </si>
  <si>
    <t>5,000 to 20,000</t>
  </si>
  <si>
    <t>30,000 to 100,000</t>
  </si>
  <si>
    <t>Utility aligner</t>
  </si>
  <si>
    <t>Total impact on industry profits - range ($)</t>
  </si>
  <si>
    <t>Total impact on industry profits - exact ($)</t>
  </si>
  <si>
    <t>Index</t>
  </si>
  <si>
    <t>Profit impact of a reference qualification ($/year)</t>
  </si>
  <si>
    <t>Get update macro working online</t>
  </si>
  <si>
    <t>Get macro to update twice so that outputs recalculate</t>
  </si>
  <si>
    <t>Add new macro to rerun all outputs for a case when a universal change (e.g. to output calculation) has been made</t>
  </si>
  <si>
    <t>Interpretation examples</t>
  </si>
  <si>
    <t>A tool to weight different outcomes to allow different measures of training outcomes to be combined into a single measure of overall value. 
Adjust the controls in cell B6 to align outcome ranges so that the ranges on each row have equal utility</t>
  </si>
  <si>
    <t xml:space="preserve">Variable delivery costs </t>
  </si>
  <si>
    <t>Cost per learner hour ($)</t>
  </si>
  <si>
    <t>Cost per 1200 learner hours ($)</t>
  </si>
  <si>
    <t>Variable cost ($ per average learner hour)</t>
  </si>
  <si>
    <t xml:space="preserve">Class size scaling factor </t>
  </si>
  <si>
    <t>Reference class size</t>
  </si>
  <si>
    <t>For reference only - cost per learner hour with different class sizes</t>
  </si>
  <si>
    <t>Training outcomes</t>
  </si>
  <si>
    <t>Programme description</t>
  </si>
  <si>
    <t>Target learners</t>
  </si>
  <si>
    <t>Cost to deliver</t>
  </si>
  <si>
    <t>Cost per EFTS ($)</t>
  </si>
  <si>
    <t>Estimated annual increase in industry profits ($)</t>
  </si>
  <si>
    <t>Expected time that training will benefit industry (years)</t>
  </si>
  <si>
    <t>Expected cumulative increase in industry profits ($)</t>
  </si>
  <si>
    <t>Expected increase in learner lifetime earnings ($)</t>
  </si>
  <si>
    <t>Total value - economic and social ($)</t>
  </si>
  <si>
    <t>Cost to benefit ratio</t>
  </si>
  <si>
    <t>Chart data</t>
  </si>
  <si>
    <t>Poultry, pigs &amp; other livestock</t>
  </si>
  <si>
    <t>By experience</t>
  </si>
  <si>
    <t>Experience</t>
  </si>
  <si>
    <t>10,000 to 30,000</t>
  </si>
  <si>
    <t>By prior highest qualification</t>
  </si>
  <si>
    <t>No post-secondary</t>
  </si>
  <si>
    <t>Level 1-2</t>
  </si>
  <si>
    <t>Level 3</t>
  </si>
  <si>
    <t>Level 4</t>
  </si>
  <si>
    <t>Level 5-6</t>
  </si>
  <si>
    <t>Level 7+</t>
  </si>
  <si>
    <t>Impact on industry profitability (per enrolled learner)</t>
  </si>
  <si>
    <t>Learner lifetime earnings (per enrolled learner)</t>
  </si>
  <si>
    <t>Weighted benefit (per enrolled learner)</t>
  </si>
  <si>
    <t>Programme name (select)</t>
  </si>
  <si>
    <t>Dashboard chart data</t>
  </si>
  <si>
    <t>A set of calculations to create the charts displayed on the dashboard tab</t>
  </si>
  <si>
    <t>A standard set of tables and lists used elsewhere in the document</t>
  </si>
  <si>
    <t>Relative weighting</t>
  </si>
  <si>
    <t>Weighted outcomes</t>
  </si>
  <si>
    <t>Midpoint</t>
  </si>
  <si>
    <t>Estimated annual increase in industry profits - exact ($)</t>
  </si>
  <si>
    <t>Estimated annual increase in industry profits - range($)</t>
  </si>
  <si>
    <t>Expected cumulative increase in industry profits - exact ($)</t>
  </si>
  <si>
    <t>Expected cumulative increase in industry profits - range ($)</t>
  </si>
  <si>
    <t>Expected increase in learner lifetime earnings - exact ($)</t>
  </si>
  <si>
    <t>Expected increase in learner lifetime earnings - range ($)</t>
  </si>
  <si>
    <t>Weight</t>
  </si>
  <si>
    <t>Total value - economic and social - exact ($)</t>
  </si>
  <si>
    <t>Total value - economic and social - range ($)</t>
  </si>
  <si>
    <t>Cost to benefit ratio - exact</t>
  </si>
  <si>
    <t>Cost to benefit ratio - range</t>
  </si>
  <si>
    <t>Range</t>
  </si>
  <si>
    <t>Investment chooser</t>
  </si>
  <si>
    <t>Expected cumulative increase in industry profits 
($ per learner)</t>
  </si>
  <si>
    <t>Expected increase in learner lifetime earnings 
($ per learner)</t>
  </si>
  <si>
    <t>Total value - economic and social ($ per learner)</t>
  </si>
  <si>
    <t>Total cost of delivery 
($ per learner)</t>
  </si>
  <si>
    <t>Business by the numbers</t>
  </si>
  <si>
    <t>Dairy Training Limited</t>
  </si>
  <si>
    <t>Contract milking 101</t>
  </si>
  <si>
    <t>New Zealand Apprenticeship in Agriculture - Dairy Farming</t>
  </si>
  <si>
    <t>Assist with Milk Harvesting and Optimising Milk Quality – Micro-credential</t>
  </si>
  <si>
    <t>Livestock Feed Supply and Demand – Micro-credential</t>
  </si>
  <si>
    <t>Farm Environment Planning Micro-credential</t>
  </si>
  <si>
    <t>Managing milk harvesting – Micro-credential</t>
  </si>
  <si>
    <t>Primary ITO</t>
  </si>
  <si>
    <t>P0021</t>
  </si>
  <si>
    <t>P0022</t>
  </si>
  <si>
    <t>P0023</t>
  </si>
  <si>
    <t>P0024</t>
  </si>
  <si>
    <t>P0025</t>
  </si>
  <si>
    <t>P0026</t>
  </si>
  <si>
    <t>P0027</t>
  </si>
  <si>
    <t>P0028</t>
  </si>
  <si>
    <t>P0029</t>
  </si>
  <si>
    <t>P0030</t>
  </si>
  <si>
    <t>P0031</t>
  </si>
  <si>
    <t>P0032</t>
  </si>
  <si>
    <t>P0033</t>
  </si>
  <si>
    <t>P0034</t>
  </si>
  <si>
    <t>P0035</t>
  </si>
  <si>
    <t>P0036</t>
  </si>
  <si>
    <t>P0037</t>
  </si>
  <si>
    <t>P0038</t>
  </si>
  <si>
    <t>BizStart</t>
  </si>
  <si>
    <t>BizGrow</t>
  </si>
  <si>
    <t>Farm Environment Planning</t>
  </si>
  <si>
    <t>Add option to enter learning hours as hours not %</t>
  </si>
  <si>
    <t>Dummy 1</t>
  </si>
  <si>
    <t>Dummy 2</t>
  </si>
  <si>
    <t>Dummy 3</t>
  </si>
  <si>
    <t>Dummy 4</t>
  </si>
  <si>
    <t>Dummy 5</t>
  </si>
  <si>
    <t>Dummy 6</t>
  </si>
  <si>
    <t>Dummy 7</t>
  </si>
  <si>
    <t>Dummy 8</t>
  </si>
  <si>
    <t>Dummy 9</t>
  </si>
  <si>
    <t>Dummy 10</t>
  </si>
  <si>
    <t>Dummy 11</t>
  </si>
  <si>
    <t>Dummy 12</t>
  </si>
  <si>
    <t>Dummy 13</t>
  </si>
  <si>
    <t>Dummy 14</t>
  </si>
  <si>
    <t>Dummy 15</t>
  </si>
  <si>
    <t>Dummy 16</t>
  </si>
  <si>
    <t>Dummy 17</t>
  </si>
  <si>
    <t>Introduction to dairy farming</t>
  </si>
  <si>
    <t>Create ability to compare and contrast two programmes in detail</t>
  </si>
  <si>
    <t>Compare modelled costs to funding rates as a reality check</t>
  </si>
  <si>
    <t>This tab is can be used to enter data about training programmes.  To use:
- Select the name of the training programme to edit in cell C5
- Update / complete relevant input details in the shaded cells in column D
- Output details will update automatically
- 'Hit the button' twice to update the data table (important - needs to be run twice so that outputs calulations are copied over)
It is also possible to bypass this tab and edit the data table directly.</t>
  </si>
  <si>
    <t>General</t>
  </si>
  <si>
    <t>Add non-formal to NZQF levels list</t>
  </si>
  <si>
    <t>Work-based learning</t>
  </si>
  <si>
    <t>'Classroom' learning</t>
  </si>
  <si>
    <t>Separate self-directed learning and online asychronous</t>
  </si>
  <si>
    <t>Add Monte carlo to refine output ranges based on inputs uncertainties</t>
  </si>
  <si>
    <t>Add fees as an input to compare provider costs with income</t>
  </si>
  <si>
    <t>Current funding (for reference)</t>
  </si>
  <si>
    <t>Fees ($ per course)</t>
  </si>
  <si>
    <t>TEC funding rate ($ per 120 credits)</t>
  </si>
  <si>
    <t>Current funding rate</t>
  </si>
  <si>
    <t>50,000 to 200,000</t>
  </si>
  <si>
    <t>Total income ($ per learner)</t>
  </si>
  <si>
    <t>Total income ($ per EFTS)</t>
  </si>
  <si>
    <t>Comparison</t>
  </si>
  <si>
    <t>Income</t>
  </si>
  <si>
    <t>Make class size delivery mode specfic so that this can vary</t>
  </si>
  <si>
    <t>Programme</t>
  </si>
  <si>
    <t>Dummy</t>
  </si>
  <si>
    <t>New Zealand Apprenticeship in Fruit Production</t>
  </si>
  <si>
    <t>Proportion of hours</t>
  </si>
  <si>
    <t>L3/4</t>
  </si>
  <si>
    <t>Add more filters on what programmes to include</t>
  </si>
  <si>
    <t>Cost to benefits ratio to better reflect who pays</t>
  </si>
  <si>
    <t>Create pre-set templates for prior-qualification levels</t>
  </si>
  <si>
    <t>Add lookups to get to the funding rate table</t>
  </si>
  <si>
    <t>Dummy 18</t>
  </si>
  <si>
    <t>Do tornado analysis to highlight key sensitivities</t>
  </si>
  <si>
    <t>Add Feed for profit (DTL)</t>
  </si>
  <si>
    <t>Check the FEP ones</t>
  </si>
  <si>
    <t>Apprenticeship</t>
  </si>
  <si>
    <t>Programme targeting</t>
  </si>
  <si>
    <t>NZQF modifier by role and level</t>
  </si>
  <si>
    <t>Add outcome - retention</t>
  </si>
  <si>
    <t>Add outcome - progression</t>
  </si>
  <si>
    <t>By role preliminary calcs</t>
  </si>
  <si>
    <t>Workplace support by role level</t>
  </si>
  <si>
    <t>Average lifetime earnings</t>
  </si>
  <si>
    <t>Impact of team capability on lifetime learner income</t>
  </si>
  <si>
    <t>Hours</t>
  </si>
  <si>
    <t>Exponent</t>
  </si>
  <si>
    <t>Certificate - Farm skills - L3</t>
  </si>
  <si>
    <t>Certificate - Introduction to farming - L2</t>
  </si>
  <si>
    <t>Microcredential - Agribusiness budgeting - L5</t>
  </si>
  <si>
    <t>Apprenticeship - Food and fibre production - L3+4</t>
  </si>
  <si>
    <t>xxx3</t>
  </si>
  <si>
    <t>Microcredential - Stepping into self-employment - L5</t>
  </si>
  <si>
    <t>Break out costs to development, fixed and variable</t>
  </si>
  <si>
    <t>Microcredential - Farm production fundamentals - L3</t>
  </si>
  <si>
    <t>Benefit to cost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</si>
</sst>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_-* #,##0.0_-;\-* #,##0.0_-;_-* &quot;-&quot;??_-;_-@_-"/>
    <numFmt numFmtId="167" formatCode="0.0"/>
    <numFmt numFmtId="168" formatCode="#,##0.0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084C61"/>
      <name val="Aptos Narrow"/>
      <family val="2"/>
      <scheme val="minor"/>
    </font>
    <font>
      <b/>
      <sz val="10"/>
      <color rgb="FF084C6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color theme="0" tint="-0.34998626667073579"/>
      <name val="Aptos Narrow"/>
      <family val="2"/>
      <scheme val="minor"/>
    </font>
    <font>
      <b/>
      <u/>
      <sz val="10"/>
      <color theme="0"/>
      <name val="Aptos Narrow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32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7" tint="0.39997558519241921"/>
      </left>
      <right style="thin">
        <color theme="7" tint="0.39997558519241921"/>
      </right>
      <top style="thin">
        <color theme="7" tint="0.39997558519241921"/>
      </top>
      <bottom style="thin">
        <color theme="7" tint="0.39997558519241921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2" tint="0.39997558519241921"/>
      </left>
      <right style="thin">
        <color theme="2" tint="0.39997558519241921"/>
      </right>
      <top style="thin">
        <color theme="2" tint="0.39997558519241921"/>
      </top>
      <bottom style="thin">
        <color theme="2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5" tint="0.39997558519241921"/>
      </left>
      <right style="thin">
        <color theme="5" tint="0.39997558519241921"/>
      </right>
      <top/>
      <bottom style="thin">
        <color theme="5" tint="0.39997558519241921"/>
      </bottom>
      <diagonal/>
    </border>
    <border>
      <left style="thin">
        <color theme="7" tint="0.39997558519241921"/>
      </left>
      <right style="thin">
        <color theme="7" tint="0.39997558519241921"/>
      </right>
      <top/>
      <bottom style="thin">
        <color theme="7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2" tint="0.39997558519241921"/>
      </left>
      <right style="thin">
        <color theme="2" tint="0.39997558519241921"/>
      </right>
      <top/>
      <bottom style="thin">
        <color theme="2" tint="0.39997558519241921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 style="thin">
        <color theme="3" tint="0.3999755851924192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2" tint="0.39997558519241921"/>
      </right>
      <top style="thin">
        <color theme="2" tint="0.39997558519241921"/>
      </top>
      <bottom style="thin">
        <color theme="2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3" tint="0.39997558519241921"/>
      </right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/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277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4" fillId="0" borderId="0" xfId="0" applyFont="1"/>
    <xf numFmtId="164" fontId="5" fillId="3" borderId="0" xfId="1" applyNumberFormat="1" applyFont="1" applyFill="1"/>
    <xf numFmtId="9" fontId="5" fillId="3" borderId="0" xfId="0" applyNumberFormat="1" applyFont="1" applyFill="1"/>
    <xf numFmtId="164" fontId="4" fillId="0" borderId="0" xfId="0" applyNumberFormat="1" applyFont="1"/>
    <xf numFmtId="0" fontId="6" fillId="6" borderId="0" xfId="0" applyFont="1" applyFill="1" applyAlignment="1">
      <alignment vertical="center" wrapText="1"/>
    </xf>
    <xf numFmtId="0" fontId="4" fillId="3" borderId="0" xfId="0" applyFont="1" applyFill="1"/>
    <xf numFmtId="0" fontId="3" fillId="4" borderId="0" xfId="0" applyFont="1" applyFill="1"/>
    <xf numFmtId="0" fontId="4" fillId="4" borderId="0" xfId="0" applyFont="1" applyFill="1"/>
    <xf numFmtId="0" fontId="7" fillId="0" borderId="0" xfId="0" applyFont="1"/>
    <xf numFmtId="9" fontId="4" fillId="3" borderId="1" xfId="2" applyFont="1" applyFill="1" applyBorder="1"/>
    <xf numFmtId="167" fontId="4" fillId="3" borderId="1" xfId="0" applyNumberFormat="1" applyFont="1" applyFill="1" applyBorder="1"/>
    <xf numFmtId="0" fontId="3" fillId="4" borderId="0" xfId="0" applyFont="1" applyFill="1" applyAlignment="1">
      <alignment vertical="center" wrapText="1"/>
    </xf>
    <xf numFmtId="0" fontId="3" fillId="4" borderId="0" xfId="0" applyFont="1" applyFill="1" applyAlignment="1">
      <alignment horizontal="right" wrapText="1"/>
    </xf>
    <xf numFmtId="0" fontId="4" fillId="0" borderId="0" xfId="0" applyFont="1" applyAlignment="1">
      <alignment wrapText="1"/>
    </xf>
    <xf numFmtId="164" fontId="4" fillId="3" borderId="1" xfId="1" applyNumberFormat="1" applyFont="1" applyFill="1" applyBorder="1"/>
    <xf numFmtId="9" fontId="4" fillId="0" borderId="1" xfId="2" applyFont="1" applyFill="1" applyBorder="1"/>
    <xf numFmtId="0" fontId="4" fillId="0" borderId="1" xfId="0" applyFont="1" applyBorder="1"/>
    <xf numFmtId="164" fontId="7" fillId="0" borderId="1" xfId="1" applyNumberFormat="1" applyFont="1" applyBorder="1"/>
    <xf numFmtId="9" fontId="7" fillId="0" borderId="1" xfId="2" applyFont="1" applyFill="1" applyBorder="1"/>
    <xf numFmtId="167" fontId="7" fillId="0" borderId="1" xfId="0" applyNumberFormat="1" applyFont="1" applyBorder="1"/>
    <xf numFmtId="0" fontId="3" fillId="4" borderId="0" xfId="0" applyFont="1" applyFill="1" applyAlignment="1">
      <alignment horizontal="right" vertical="center" wrapText="1" indent="1"/>
    </xf>
    <xf numFmtId="0" fontId="8" fillId="0" borderId="1" xfId="0" applyFont="1" applyBorder="1" applyAlignment="1">
      <alignment horizontal="left" vertical="center" wrapText="1" readingOrder="1"/>
    </xf>
    <xf numFmtId="0" fontId="3" fillId="4" borderId="0" xfId="0" applyFont="1" applyFill="1" applyAlignment="1">
      <alignment wrapText="1"/>
    </xf>
    <xf numFmtId="166" fontId="4" fillId="0" borderId="1" xfId="1" applyNumberFormat="1" applyFont="1" applyFill="1" applyBorder="1"/>
    <xf numFmtId="166" fontId="7" fillId="0" borderId="1" xfId="1" applyNumberFormat="1" applyFont="1" applyFill="1" applyBorder="1"/>
    <xf numFmtId="166" fontId="4" fillId="0" borderId="0" xfId="1" applyNumberFormat="1" applyFont="1" applyFill="1" applyBorder="1"/>
    <xf numFmtId="166" fontId="7" fillId="0" borderId="0" xfId="1" applyNumberFormat="1" applyFont="1" applyFill="1" applyBorder="1"/>
    <xf numFmtId="0" fontId="9" fillId="0" borderId="0" xfId="0" applyFont="1"/>
    <xf numFmtId="166" fontId="7" fillId="0" borderId="1" xfId="2" applyNumberFormat="1" applyFont="1" applyFill="1" applyBorder="1"/>
    <xf numFmtId="165" fontId="4" fillId="0" borderId="1" xfId="2" applyNumberFormat="1" applyFont="1" applyFill="1" applyBorder="1"/>
    <xf numFmtId="165" fontId="7" fillId="0" borderId="1" xfId="2" applyNumberFormat="1" applyFont="1" applyFill="1" applyBorder="1"/>
    <xf numFmtId="164" fontId="4" fillId="0" borderId="1" xfId="1" applyNumberFormat="1" applyFont="1" applyFill="1" applyBorder="1"/>
    <xf numFmtId="0" fontId="3" fillId="5" borderId="0" xfId="0" applyFont="1" applyFill="1"/>
    <xf numFmtId="0" fontId="4" fillId="5" borderId="0" xfId="0" applyFont="1" applyFill="1"/>
    <xf numFmtId="0" fontId="3" fillId="5" borderId="0" xfId="0" applyFont="1" applyFill="1" applyAlignment="1">
      <alignment wrapText="1"/>
    </xf>
    <xf numFmtId="0" fontId="3" fillId="5" borderId="0" xfId="0" applyFont="1" applyFill="1" applyAlignment="1">
      <alignment horizontal="right" vertical="center" wrapText="1"/>
    </xf>
    <xf numFmtId="0" fontId="8" fillId="0" borderId="2" xfId="0" applyFont="1" applyBorder="1" applyAlignment="1">
      <alignment horizontal="left" vertical="center" wrapText="1" readingOrder="1"/>
    </xf>
    <xf numFmtId="9" fontId="4" fillId="3" borderId="2" xfId="2" applyFont="1" applyFill="1" applyBorder="1"/>
    <xf numFmtId="0" fontId="3" fillId="5" borderId="0" xfId="0" applyFont="1" applyFill="1" applyAlignment="1">
      <alignment vertical="center" wrapText="1"/>
    </xf>
    <xf numFmtId="164" fontId="4" fillId="3" borderId="2" xfId="1" applyNumberFormat="1" applyFont="1" applyFill="1" applyBorder="1"/>
    <xf numFmtId="43" fontId="4" fillId="3" borderId="2" xfId="1" applyFont="1" applyFill="1" applyBorder="1"/>
    <xf numFmtId="0" fontId="4" fillId="0" borderId="0" xfId="0" quotePrefix="1" applyFont="1"/>
    <xf numFmtId="164" fontId="4" fillId="3" borderId="2" xfId="1" applyNumberFormat="1" applyFont="1" applyFill="1" applyBorder="1" applyAlignment="1">
      <alignment horizontal="left" indent="2"/>
    </xf>
    <xf numFmtId="166" fontId="4" fillId="3" borderId="2" xfId="1" applyNumberFormat="1" applyFont="1" applyFill="1" applyBorder="1"/>
    <xf numFmtId="43" fontId="4" fillId="0" borderId="0" xfId="0" applyNumberFormat="1" applyFont="1"/>
    <xf numFmtId="166" fontId="4" fillId="3" borderId="2" xfId="1" applyNumberFormat="1" applyFont="1" applyFill="1" applyBorder="1" applyAlignment="1">
      <alignment horizontal="left" indent="2"/>
    </xf>
    <xf numFmtId="43" fontId="4" fillId="3" borderId="2" xfId="1" applyFont="1" applyFill="1" applyBorder="1" applyAlignment="1">
      <alignment horizontal="left" indent="2"/>
    </xf>
    <xf numFmtId="43" fontId="4" fillId="0" borderId="0" xfId="1" applyFont="1"/>
    <xf numFmtId="0" fontId="8" fillId="0" borderId="2" xfId="0" applyFont="1" applyBorder="1" applyAlignment="1">
      <alignment horizontal="left" vertical="center" readingOrder="1"/>
    </xf>
    <xf numFmtId="0" fontId="3" fillId="8" borderId="0" xfId="0" applyFont="1" applyFill="1"/>
    <xf numFmtId="0" fontId="4" fillId="8" borderId="0" xfId="0" applyFont="1" applyFill="1"/>
    <xf numFmtId="0" fontId="3" fillId="9" borderId="0" xfId="0" applyFont="1" applyFill="1"/>
    <xf numFmtId="0" fontId="4" fillId="9" borderId="0" xfId="0" applyFont="1" applyFill="1"/>
    <xf numFmtId="0" fontId="3" fillId="10" borderId="0" xfId="0" applyFont="1" applyFill="1"/>
    <xf numFmtId="0" fontId="4" fillId="10" borderId="0" xfId="0" applyFont="1" applyFill="1"/>
    <xf numFmtId="0" fontId="4" fillId="0" borderId="5" xfId="0" applyFont="1" applyBorder="1"/>
    <xf numFmtId="0" fontId="8" fillId="7" borderId="2" xfId="0" applyFont="1" applyFill="1" applyBorder="1" applyAlignment="1">
      <alignment horizontal="left" vertical="center" readingOrder="1"/>
    </xf>
    <xf numFmtId="0" fontId="4" fillId="0" borderId="6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8" fillId="0" borderId="11" xfId="0" applyFont="1" applyBorder="1" applyAlignment="1">
      <alignment horizontal="left" vertical="center" readingOrder="1"/>
    </xf>
    <xf numFmtId="0" fontId="4" fillId="2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4" fillId="5" borderId="0" xfId="0" applyFont="1" applyFill="1" applyAlignment="1">
      <alignment horizontal="left"/>
    </xf>
    <xf numFmtId="9" fontId="11" fillId="0" borderId="0" xfId="2" applyFont="1" applyFill="1" applyBorder="1" applyAlignment="1">
      <alignment horizontal="left" vertical="center" wrapText="1" readingOrder="1"/>
    </xf>
    <xf numFmtId="0" fontId="4" fillId="4" borderId="0" xfId="0" applyFont="1" applyFill="1" applyAlignment="1">
      <alignment horizontal="left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3" fillId="8" borderId="0" xfId="0" applyFont="1" applyFill="1" applyAlignment="1">
      <alignment horizontal="right" vertical="center" wrapText="1"/>
    </xf>
    <xf numFmtId="166" fontId="4" fillId="0" borderId="3" xfId="1" applyNumberFormat="1" applyFont="1" applyBorder="1"/>
    <xf numFmtId="0" fontId="8" fillId="0" borderId="12" xfId="0" applyFont="1" applyBorder="1" applyAlignment="1">
      <alignment horizontal="left" vertical="center" wrapText="1" readingOrder="1"/>
    </xf>
    <xf numFmtId="164" fontId="4" fillId="0" borderId="12" xfId="1" applyNumberFormat="1" applyFont="1" applyFill="1" applyBorder="1"/>
    <xf numFmtId="0" fontId="8" fillId="0" borderId="0" xfId="0" applyFont="1" applyAlignment="1">
      <alignment horizontal="left" vertical="center" wrapText="1" readingOrder="1"/>
    </xf>
    <xf numFmtId="164" fontId="4" fillId="0" borderId="0" xfId="1" applyNumberFormat="1" applyFont="1" applyFill="1" applyBorder="1"/>
    <xf numFmtId="43" fontId="8" fillId="0" borderId="12" xfId="1" applyFont="1" applyBorder="1" applyAlignment="1">
      <alignment horizontal="left" vertical="center" wrapText="1" readingOrder="1"/>
    </xf>
    <xf numFmtId="0" fontId="4" fillId="0" borderId="0" xfId="0" applyFont="1" applyAlignment="1">
      <alignment horizontal="center"/>
    </xf>
    <xf numFmtId="0" fontId="3" fillId="10" borderId="0" xfId="0" applyFont="1" applyFill="1" applyAlignment="1">
      <alignment horizontal="right" vertical="center" wrapText="1"/>
    </xf>
    <xf numFmtId="0" fontId="4" fillId="0" borderId="0" xfId="0" applyFont="1" applyAlignment="1">
      <alignment vertical="center"/>
    </xf>
    <xf numFmtId="166" fontId="4" fillId="0" borderId="12" xfId="1" applyNumberFormat="1" applyFont="1" applyFill="1" applyBorder="1"/>
    <xf numFmtId="167" fontId="4" fillId="0" borderId="0" xfId="0" applyNumberFormat="1" applyFont="1"/>
    <xf numFmtId="164" fontId="4" fillId="0" borderId="0" xfId="1" applyNumberFormat="1" applyFont="1"/>
    <xf numFmtId="0" fontId="3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16" borderId="0" xfId="0" applyFont="1" applyFill="1"/>
    <xf numFmtId="0" fontId="3" fillId="16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left" vertical="center"/>
    </xf>
    <xf numFmtId="0" fontId="4" fillId="17" borderId="15" xfId="0" applyFont="1" applyFill="1" applyBorder="1" applyAlignment="1">
      <alignment horizontal="left"/>
    </xf>
    <xf numFmtId="0" fontId="10" fillId="17" borderId="15" xfId="0" applyFont="1" applyFill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/>
    <xf numFmtId="0" fontId="4" fillId="17" borderId="0" xfId="0" applyFont="1" applyFill="1" applyAlignment="1">
      <alignment vertical="center" wrapText="1"/>
    </xf>
    <xf numFmtId="0" fontId="3" fillId="10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left"/>
    </xf>
    <xf numFmtId="0" fontId="4" fillId="19" borderId="0" xfId="0" applyFont="1" applyFill="1"/>
    <xf numFmtId="0" fontId="4" fillId="8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left"/>
    </xf>
    <xf numFmtId="0" fontId="4" fillId="18" borderId="0" xfId="0" applyFont="1" applyFill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166" fontId="4" fillId="0" borderId="10" xfId="1" applyNumberFormat="1" applyFont="1" applyBorder="1"/>
    <xf numFmtId="164" fontId="4" fillId="0" borderId="10" xfId="1" applyNumberFormat="1" applyFont="1" applyBorder="1"/>
    <xf numFmtId="0" fontId="3" fillId="10" borderId="0" xfId="0" applyFont="1" applyFill="1" applyAlignment="1">
      <alignment wrapText="1"/>
    </xf>
    <xf numFmtId="1" fontId="4" fillId="0" borderId="0" xfId="0" applyNumberFormat="1" applyFont="1" applyAlignment="1">
      <alignment horizontal="left"/>
    </xf>
    <xf numFmtId="0" fontId="4" fillId="17" borderId="0" xfId="0" applyFont="1" applyFill="1" applyAlignment="1">
      <alignment horizontal="center" vertical="center" wrapText="1"/>
    </xf>
    <xf numFmtId="0" fontId="4" fillId="11" borderId="0" xfId="0" applyFont="1" applyFill="1" applyAlignment="1">
      <alignment horizontal="right" vertical="center" wrapText="1"/>
    </xf>
    <xf numFmtId="0" fontId="4" fillId="14" borderId="0" xfId="0" applyFont="1" applyFill="1" applyAlignment="1">
      <alignment vertical="center" wrapText="1"/>
    </xf>
    <xf numFmtId="9" fontId="4" fillId="0" borderId="0" xfId="0" applyNumberFormat="1" applyFont="1"/>
    <xf numFmtId="0" fontId="4" fillId="19" borderId="0" xfId="0" applyFont="1" applyFill="1" applyAlignment="1">
      <alignment horizontal="center"/>
    </xf>
    <xf numFmtId="9" fontId="4" fillId="0" borderId="0" xfId="2" applyFont="1"/>
    <xf numFmtId="0" fontId="4" fillId="0" borderId="0" xfId="0" quotePrefix="1" applyFont="1" applyAlignment="1">
      <alignment horizontal="left"/>
    </xf>
    <xf numFmtId="9" fontId="4" fillId="3" borderId="3" xfId="0" applyNumberFormat="1" applyFont="1" applyFill="1" applyBorder="1"/>
    <xf numFmtId="43" fontId="4" fillId="0" borderId="3" xfId="1" applyFont="1" applyBorder="1"/>
    <xf numFmtId="43" fontId="4" fillId="0" borderId="3" xfId="0" applyNumberFormat="1" applyFont="1" applyBorder="1"/>
    <xf numFmtId="165" fontId="4" fillId="0" borderId="3" xfId="0" applyNumberFormat="1" applyFont="1" applyBorder="1"/>
    <xf numFmtId="9" fontId="4" fillId="0" borderId="3" xfId="0" applyNumberFormat="1" applyFont="1" applyBorder="1"/>
    <xf numFmtId="0" fontId="4" fillId="18" borderId="0" xfId="0" applyFont="1" applyFill="1" applyAlignment="1">
      <alignment vertical="center" wrapText="1"/>
    </xf>
    <xf numFmtId="9" fontId="4" fillId="0" borderId="0" xfId="2" applyFont="1" applyAlignment="1">
      <alignment horizontal="left" vertical="center"/>
    </xf>
    <xf numFmtId="0" fontId="4" fillId="17" borderId="0" xfId="0" applyFont="1" applyFill="1" applyAlignment="1">
      <alignment horizontal="left" vertical="center"/>
    </xf>
    <xf numFmtId="9" fontId="4" fillId="12" borderId="14" xfId="2" applyFont="1" applyFill="1" applyBorder="1" applyAlignment="1">
      <alignment horizontal="left"/>
    </xf>
    <xf numFmtId="9" fontId="10" fillId="12" borderId="14" xfId="2" applyFont="1" applyFill="1" applyBorder="1" applyAlignment="1">
      <alignment horizontal="left"/>
    </xf>
    <xf numFmtId="9" fontId="7" fillId="0" borderId="14" xfId="2" applyFont="1" applyBorder="1" applyAlignment="1">
      <alignment horizontal="left"/>
    </xf>
    <xf numFmtId="9" fontId="7" fillId="0" borderId="0" xfId="2" applyFont="1" applyBorder="1" applyAlignment="1">
      <alignment horizontal="left"/>
    </xf>
    <xf numFmtId="0" fontId="3" fillId="0" borderId="0" xfId="0" applyFont="1" applyAlignment="1">
      <alignment horizontal="left" vertical="center" wrapText="1"/>
    </xf>
    <xf numFmtId="9" fontId="4" fillId="3" borderId="2" xfId="2" applyFont="1" applyFill="1" applyBorder="1" applyAlignment="1">
      <alignment horizontal="left"/>
    </xf>
    <xf numFmtId="9" fontId="11" fillId="0" borderId="2" xfId="2" applyFont="1" applyFill="1" applyBorder="1" applyAlignment="1">
      <alignment horizontal="left" vertical="center" wrapText="1" readingOrder="1"/>
    </xf>
    <xf numFmtId="9" fontId="4" fillId="0" borderId="5" xfId="2" applyFont="1" applyFill="1" applyBorder="1" applyAlignment="1">
      <alignment horizontal="left"/>
    </xf>
    <xf numFmtId="9" fontId="7" fillId="0" borderId="5" xfId="2" applyFont="1" applyFill="1" applyBorder="1" applyAlignment="1">
      <alignment horizontal="left"/>
    </xf>
    <xf numFmtId="9" fontId="7" fillId="0" borderId="0" xfId="2" applyFont="1" applyFill="1" applyBorder="1" applyAlignment="1">
      <alignment horizontal="left"/>
    </xf>
    <xf numFmtId="9" fontId="4" fillId="0" borderId="2" xfId="2" applyFont="1" applyFill="1" applyBorder="1" applyAlignment="1">
      <alignment horizontal="left"/>
    </xf>
    <xf numFmtId="0" fontId="4" fillId="0" borderId="0" xfId="0" applyFont="1" applyAlignment="1">
      <alignment horizontal="left" vertical="center"/>
    </xf>
    <xf numFmtId="0" fontId="3" fillId="13" borderId="0" xfId="0" applyFont="1" applyFill="1"/>
    <xf numFmtId="0" fontId="4" fillId="18" borderId="6" xfId="0" applyFont="1" applyFill="1" applyBorder="1" applyAlignment="1">
      <alignment horizontal="left"/>
    </xf>
    <xf numFmtId="0" fontId="4" fillId="11" borderId="0" xfId="0" applyFont="1" applyFill="1" applyAlignment="1">
      <alignment horizontal="center" vertical="center" wrapText="1"/>
    </xf>
    <xf numFmtId="0" fontId="4" fillId="0" borderId="2" xfId="0" applyFont="1" applyBorder="1" applyAlignment="1">
      <alignment horizontal="left"/>
    </xf>
    <xf numFmtId="0" fontId="10" fillId="12" borderId="14" xfId="2" applyNumberFormat="1" applyFont="1" applyFill="1" applyBorder="1" applyAlignment="1">
      <alignment horizontal="left"/>
    </xf>
    <xf numFmtId="43" fontId="4" fillId="0" borderId="18" xfId="1" applyFont="1" applyFill="1" applyBorder="1" applyAlignment="1">
      <alignment horizontal="left" indent="2"/>
    </xf>
    <xf numFmtId="0" fontId="3" fillId="5" borderId="19" xfId="0" applyFont="1" applyFill="1" applyBorder="1" applyAlignment="1">
      <alignment horizontal="right" wrapText="1"/>
    </xf>
    <xf numFmtId="43" fontId="4" fillId="21" borderId="18" xfId="1" applyFont="1" applyFill="1" applyBorder="1" applyAlignment="1">
      <alignment horizontal="left" indent="2"/>
    </xf>
    <xf numFmtId="0" fontId="7" fillId="21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center" wrapText="1"/>
    </xf>
    <xf numFmtId="0" fontId="4" fillId="0" borderId="0" xfId="0" applyFont="1" applyAlignment="1">
      <alignment horizontal="right" indent="1"/>
    </xf>
    <xf numFmtId="0" fontId="4" fillId="2" borderId="0" xfId="0" applyFont="1" applyFill="1" applyAlignment="1">
      <alignment horizontal="right" indent="1"/>
    </xf>
    <xf numFmtId="0" fontId="3" fillId="2" borderId="0" xfId="0" applyFont="1" applyFill="1" applyAlignment="1">
      <alignment horizontal="right" wrapText="1" indent="1"/>
    </xf>
    <xf numFmtId="164" fontId="4" fillId="11" borderId="0" xfId="1" applyNumberFormat="1" applyFont="1" applyFill="1"/>
    <xf numFmtId="0" fontId="3" fillId="2" borderId="0" xfId="0" applyFont="1" applyFill="1" applyAlignment="1">
      <alignment horizontal="right" wrapText="1"/>
    </xf>
    <xf numFmtId="9" fontId="4" fillId="11" borderId="0" xfId="2" applyFont="1" applyFill="1"/>
    <xf numFmtId="9" fontId="4" fillId="0" borderId="0" xfId="0" applyNumberFormat="1" applyFont="1" applyAlignment="1">
      <alignment horizontal="center"/>
    </xf>
    <xf numFmtId="9" fontId="4" fillId="0" borderId="0" xfId="2" applyFont="1" applyAlignment="1">
      <alignment horizontal="center"/>
    </xf>
    <xf numFmtId="0" fontId="3" fillId="10" borderId="0" xfId="0" applyFont="1" applyFill="1" applyAlignment="1">
      <alignment horizontal="center" wrapText="1"/>
    </xf>
    <xf numFmtId="9" fontId="4" fillId="0" borderId="20" xfId="0" applyNumberFormat="1" applyFont="1" applyBorder="1" applyAlignment="1">
      <alignment horizontal="center"/>
    </xf>
    <xf numFmtId="43" fontId="4" fillId="0" borderId="0" xfId="1" applyFont="1" applyAlignment="1">
      <alignment horizontal="center" wrapText="1"/>
    </xf>
    <xf numFmtId="0" fontId="4" fillId="21" borderId="0" xfId="0" applyFont="1" applyFill="1" applyAlignment="1">
      <alignment horizontal="center"/>
    </xf>
    <xf numFmtId="43" fontId="4" fillId="11" borderId="0" xfId="1" applyFont="1" applyFill="1"/>
    <xf numFmtId="9" fontId="4" fillId="11" borderId="0" xfId="2" applyFont="1" applyFill="1" applyAlignment="1">
      <alignment horizontal="right" indent="1"/>
    </xf>
    <xf numFmtId="164" fontId="4" fillId="0" borderId="0" xfId="1" applyNumberFormat="1" applyFont="1" applyAlignment="1">
      <alignment horizontal="center"/>
    </xf>
    <xf numFmtId="0" fontId="13" fillId="23" borderId="0" xfId="0" applyFont="1" applyFill="1" applyAlignment="1">
      <alignment horizontal="center" wrapText="1"/>
    </xf>
    <xf numFmtId="0" fontId="4" fillId="10" borderId="16" xfId="0" applyFont="1" applyFill="1" applyBorder="1"/>
    <xf numFmtId="0" fontId="4" fillId="22" borderId="16" xfId="0" applyFont="1" applyFill="1" applyBorder="1" applyAlignment="1">
      <alignment vertical="center" wrapText="1"/>
    </xf>
    <xf numFmtId="3" fontId="4" fillId="0" borderId="21" xfId="2" applyNumberFormat="1" applyFont="1" applyFill="1" applyBorder="1" applyAlignment="1">
      <alignment horizontal="left"/>
    </xf>
    <xf numFmtId="0" fontId="3" fillId="2" borderId="0" xfId="0" applyFont="1" applyFill="1" applyAlignment="1">
      <alignment horizontal="left" vertical="center"/>
    </xf>
    <xf numFmtId="0" fontId="4" fillId="20" borderId="0" xfId="0" applyFont="1" applyFill="1" applyAlignment="1">
      <alignment horizontal="left" vertical="center"/>
    </xf>
    <xf numFmtId="0" fontId="3" fillId="13" borderId="0" xfId="0" applyFont="1" applyFill="1" applyAlignment="1">
      <alignment horizontal="center" vertical="center"/>
    </xf>
    <xf numFmtId="0" fontId="13" fillId="23" borderId="0" xfId="0" applyFont="1" applyFill="1" applyAlignment="1">
      <alignment horizontal="center" vertical="center" wrapText="1"/>
    </xf>
    <xf numFmtId="0" fontId="4" fillId="11" borderId="0" xfId="0" applyFont="1" applyFill="1" applyAlignment="1">
      <alignment horizontal="left" vertical="center" wrapText="1"/>
    </xf>
    <xf numFmtId="0" fontId="14" fillId="0" borderId="0" xfId="0" applyFont="1"/>
    <xf numFmtId="0" fontId="9" fillId="11" borderId="0" xfId="0" applyFont="1" applyFill="1" applyAlignment="1">
      <alignment horizontal="left"/>
    </xf>
    <xf numFmtId="0" fontId="4" fillId="11" borderId="0" xfId="0" applyFont="1" applyFill="1"/>
    <xf numFmtId="166" fontId="4" fillId="0" borderId="0" xfId="1" applyNumberFormat="1" applyFont="1"/>
    <xf numFmtId="0" fontId="4" fillId="19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4" fillId="6" borderId="0" xfId="0" applyFont="1" applyFill="1" applyAlignment="1">
      <alignment horizontal="right" vertical="center" wrapText="1"/>
    </xf>
    <xf numFmtId="0" fontId="4" fillId="18" borderId="0" xfId="0" applyFont="1" applyFill="1" applyAlignment="1">
      <alignment horizontal="right" vertical="center" wrapText="1"/>
    </xf>
    <xf numFmtId="0" fontId="4" fillId="10" borderId="0" xfId="0" applyFont="1" applyFill="1" applyAlignment="1">
      <alignment vertical="center"/>
    </xf>
    <xf numFmtId="0" fontId="4" fillId="22" borderId="0" xfId="0" applyFont="1" applyFill="1" applyAlignment="1">
      <alignment vertical="center" wrapText="1"/>
    </xf>
    <xf numFmtId="0" fontId="4" fillId="14" borderId="0" xfId="0" applyFont="1" applyFill="1" applyAlignment="1">
      <alignment horizontal="right" vertical="center" wrapText="1"/>
    </xf>
    <xf numFmtId="9" fontId="4" fillId="0" borderId="0" xfId="2" applyFont="1" applyAlignment="1">
      <alignment horizontal="right"/>
    </xf>
    <xf numFmtId="0" fontId="15" fillId="22" borderId="0" xfId="3" applyFont="1" applyFill="1" applyAlignment="1">
      <alignment horizontal="left" vertical="center"/>
    </xf>
    <xf numFmtId="0" fontId="15" fillId="13" borderId="0" xfId="3" applyFont="1" applyFill="1" applyAlignment="1">
      <alignment horizontal="left" vertical="center"/>
    </xf>
    <xf numFmtId="0" fontId="15" fillId="5" borderId="0" xfId="3" applyFont="1" applyFill="1" applyAlignment="1">
      <alignment horizontal="left" vertical="center"/>
    </xf>
    <xf numFmtId="0" fontId="15" fillId="8" borderId="0" xfId="3" applyFont="1" applyFill="1" applyAlignment="1">
      <alignment horizontal="left" vertical="center"/>
    </xf>
    <xf numFmtId="0" fontId="4" fillId="20" borderId="0" xfId="0" applyFont="1" applyFill="1"/>
    <xf numFmtId="0" fontId="4" fillId="20" borderId="0" xfId="0" applyFont="1" applyFill="1" applyAlignment="1">
      <alignment horizontal="left"/>
    </xf>
    <xf numFmtId="0" fontId="4" fillId="20" borderId="0" xfId="0" applyFont="1" applyFill="1" applyAlignment="1">
      <alignment vertical="center"/>
    </xf>
    <xf numFmtId="0" fontId="3" fillId="10" borderId="0" xfId="0" applyFont="1" applyFill="1" applyAlignment="1">
      <alignment vertical="center"/>
    </xf>
    <xf numFmtId="9" fontId="4" fillId="0" borderId="0" xfId="2" applyFont="1" applyFill="1"/>
    <xf numFmtId="0" fontId="4" fillId="10" borderId="0" xfId="0" applyFont="1" applyFill="1" applyAlignment="1">
      <alignment horizontal="center"/>
    </xf>
    <xf numFmtId="9" fontId="4" fillId="0" borderId="0" xfId="2" applyFont="1" applyFill="1" applyAlignment="1">
      <alignment horizontal="center"/>
    </xf>
    <xf numFmtId="0" fontId="4" fillId="21" borderId="0" xfId="0" applyFont="1" applyFill="1"/>
    <xf numFmtId="9" fontId="4" fillId="21" borderId="0" xfId="2" applyFont="1" applyFill="1" applyAlignment="1">
      <alignment horizontal="center"/>
    </xf>
    <xf numFmtId="0" fontId="7" fillId="21" borderId="0" xfId="0" applyFont="1" applyFill="1"/>
    <xf numFmtId="0" fontId="4" fillId="2" borderId="0" xfId="0" applyFont="1" applyFill="1" applyAlignment="1">
      <alignment horizontal="center" vertical="center"/>
    </xf>
    <xf numFmtId="9" fontId="4" fillId="0" borderId="0" xfId="0" applyNumberFormat="1" applyFont="1" applyAlignment="1">
      <alignment horizontal="left"/>
    </xf>
    <xf numFmtId="0" fontId="10" fillId="12" borderId="0" xfId="0" applyFont="1" applyFill="1"/>
    <xf numFmtId="166" fontId="4" fillId="0" borderId="0" xfId="1" applyNumberFormat="1" applyFont="1" applyFill="1"/>
    <xf numFmtId="168" fontId="4" fillId="0" borderId="21" xfId="2" applyNumberFormat="1" applyFont="1" applyFill="1" applyBorder="1" applyAlignment="1">
      <alignment horizontal="left"/>
    </xf>
    <xf numFmtId="164" fontId="4" fillId="0" borderId="0" xfId="1" applyNumberFormat="1" applyFont="1" applyFill="1" applyBorder="1" applyAlignment="1"/>
    <xf numFmtId="164" fontId="4" fillId="0" borderId="0" xfId="1" applyNumberFormat="1" applyFont="1" applyFill="1"/>
    <xf numFmtId="1" fontId="4" fillId="0" borderId="0" xfId="0" applyNumberFormat="1" applyFont="1"/>
    <xf numFmtId="164" fontId="4" fillId="0" borderId="0" xfId="1" applyNumberFormat="1" applyFont="1" applyFill="1" applyAlignment="1">
      <alignment horizontal="right"/>
    </xf>
    <xf numFmtId="0" fontId="4" fillId="20" borderId="24" xfId="0" applyFont="1" applyFill="1" applyBorder="1"/>
    <xf numFmtId="0" fontId="4" fillId="20" borderId="25" xfId="0" applyFont="1" applyFill="1" applyBorder="1"/>
    <xf numFmtId="0" fontId="4" fillId="20" borderId="26" xfId="0" applyFont="1" applyFill="1" applyBorder="1"/>
    <xf numFmtId="0" fontId="4" fillId="20" borderId="23" xfId="0" applyFont="1" applyFill="1" applyBorder="1"/>
    <xf numFmtId="0" fontId="7" fillId="20" borderId="0" xfId="0" applyFont="1" applyFill="1" applyAlignment="1">
      <alignment vertical="center"/>
    </xf>
    <xf numFmtId="0" fontId="4" fillId="20" borderId="22" xfId="0" applyFont="1" applyFill="1" applyBorder="1"/>
    <xf numFmtId="0" fontId="7" fillId="20" borderId="0" xfId="0" applyFont="1" applyFill="1" applyAlignment="1">
      <alignment horizontal="left"/>
    </xf>
    <xf numFmtId="3" fontId="7" fillId="20" borderId="0" xfId="0" applyNumberFormat="1" applyFont="1" applyFill="1" applyAlignment="1">
      <alignment horizontal="left"/>
    </xf>
    <xf numFmtId="0" fontId="4" fillId="20" borderId="27" xfId="0" applyFont="1" applyFill="1" applyBorder="1"/>
    <xf numFmtId="0" fontId="4" fillId="20" borderId="28" xfId="0" applyFont="1" applyFill="1" applyBorder="1"/>
    <xf numFmtId="0" fontId="4" fillId="20" borderId="29" xfId="0" applyFont="1" applyFill="1" applyBorder="1"/>
    <xf numFmtId="0" fontId="4" fillId="20" borderId="28" xfId="0" applyFont="1" applyFill="1" applyBorder="1" applyAlignment="1">
      <alignment horizontal="left"/>
    </xf>
    <xf numFmtId="0" fontId="3" fillId="20" borderId="0" xfId="0" applyFont="1" applyFill="1" applyAlignment="1">
      <alignment vertical="center"/>
    </xf>
    <xf numFmtId="0" fontId="4" fillId="14" borderId="0" xfId="0" applyFont="1" applyFill="1"/>
    <xf numFmtId="0" fontId="4" fillId="0" borderId="0" xfId="0" applyFont="1" applyAlignment="1">
      <alignment horizontal="right" wrapText="1"/>
    </xf>
    <xf numFmtId="0" fontId="4" fillId="20" borderId="0" xfId="0" applyFont="1" applyFill="1" applyAlignment="1">
      <alignment horizontal="right" vertical="center"/>
    </xf>
    <xf numFmtId="164" fontId="4" fillId="20" borderId="0" xfId="1" applyNumberFormat="1" applyFont="1" applyFill="1" applyAlignment="1">
      <alignment horizontal="right" vertical="center"/>
    </xf>
    <xf numFmtId="0" fontId="4" fillId="16" borderId="0" xfId="0" applyFont="1" applyFill="1"/>
    <xf numFmtId="0" fontId="3" fillId="16" borderId="0" xfId="0" applyFont="1" applyFill="1" applyAlignment="1">
      <alignment vertical="center" wrapText="1"/>
    </xf>
    <xf numFmtId="0" fontId="3" fillId="16" borderId="0" xfId="0" applyFont="1" applyFill="1" applyAlignment="1">
      <alignment horizontal="right" vertical="center" wrapText="1" indent="1"/>
    </xf>
    <xf numFmtId="164" fontId="8" fillId="0" borderId="30" xfId="1" applyNumberFormat="1" applyFont="1" applyFill="1" applyBorder="1" applyAlignment="1">
      <alignment horizontal="left" vertical="center" wrapText="1" readingOrder="1"/>
    </xf>
    <xf numFmtId="164" fontId="4" fillId="3" borderId="30" xfId="1" applyNumberFormat="1" applyFont="1" applyFill="1" applyBorder="1"/>
    <xf numFmtId="9" fontId="4" fillId="0" borderId="30" xfId="2" applyFont="1" applyBorder="1"/>
    <xf numFmtId="0" fontId="4" fillId="0" borderId="0" xfId="0" applyFont="1" applyAlignment="1">
      <alignment horizontal="left" vertical="center" wrapText="1"/>
    </xf>
    <xf numFmtId="3" fontId="4" fillId="18" borderId="17" xfId="0" applyNumberFormat="1" applyFont="1" applyFill="1" applyBorder="1" applyAlignment="1">
      <alignment horizontal="left"/>
    </xf>
    <xf numFmtId="165" fontId="4" fillId="12" borderId="14" xfId="2" applyNumberFormat="1" applyFont="1" applyFill="1" applyBorder="1" applyAlignment="1">
      <alignment horizontal="left"/>
    </xf>
    <xf numFmtId="165" fontId="10" fillId="12" borderId="14" xfId="2" applyNumberFormat="1" applyFont="1" applyFill="1" applyBorder="1" applyAlignment="1">
      <alignment horizontal="left"/>
    </xf>
    <xf numFmtId="0" fontId="4" fillId="0" borderId="8" xfId="0" quotePrefix="1" applyFont="1" applyBorder="1"/>
    <xf numFmtId="3" fontId="4" fillId="0" borderId="0" xfId="0" applyNumberFormat="1" applyFont="1"/>
    <xf numFmtId="0" fontId="3" fillId="8" borderId="0" xfId="0" applyFont="1" applyFill="1" applyAlignment="1">
      <alignment horizontal="left" vertical="center" wrapText="1"/>
    </xf>
    <xf numFmtId="0" fontId="4" fillId="18" borderId="13" xfId="0" applyFont="1" applyFill="1" applyBorder="1" applyAlignment="1">
      <alignment horizontal="left" vertical="center" wrapText="1"/>
    </xf>
    <xf numFmtId="9" fontId="7" fillId="0" borderId="0" xfId="0" applyNumberFormat="1" applyFont="1" applyAlignment="1">
      <alignment horizontal="left"/>
    </xf>
    <xf numFmtId="164" fontId="4" fillId="0" borderId="31" xfId="0" applyNumberFormat="1" applyFont="1" applyBorder="1"/>
    <xf numFmtId="0" fontId="4" fillId="11" borderId="0" xfId="0" applyFont="1" applyFill="1" applyAlignment="1">
      <alignment horizontal="center"/>
    </xf>
    <xf numFmtId="0" fontId="4" fillId="11" borderId="0" xfId="0" applyFont="1" applyFill="1" applyAlignment="1">
      <alignment horizontal="right" indent="1"/>
    </xf>
    <xf numFmtId="9" fontId="4" fillId="11" borderId="0" xfId="0" applyNumberFormat="1" applyFont="1" applyFill="1" applyAlignment="1">
      <alignment horizontal="center"/>
    </xf>
    <xf numFmtId="9" fontId="7" fillId="0" borderId="0" xfId="0" applyNumberFormat="1" applyFont="1"/>
    <xf numFmtId="4" fontId="4" fillId="18" borderId="0" xfId="0" applyNumberFormat="1" applyFont="1" applyFill="1" applyAlignment="1">
      <alignment horizontal="left"/>
    </xf>
    <xf numFmtId="9" fontId="4" fillId="0" borderId="0" xfId="2" applyFont="1" applyFill="1" applyBorder="1"/>
    <xf numFmtId="166" fontId="7" fillId="3" borderId="2" xfId="1" applyNumberFormat="1" applyFont="1" applyFill="1" applyBorder="1" applyAlignment="1">
      <alignment horizontal="left" indent="2"/>
    </xf>
    <xf numFmtId="0" fontId="4" fillId="18" borderId="0" xfId="0" applyFont="1" applyFill="1" applyAlignment="1">
      <alignment horizontal="left" vertical="center" wrapText="1"/>
    </xf>
    <xf numFmtId="0" fontId="13" fillId="8" borderId="0" xfId="0" applyFont="1" applyFill="1" applyAlignment="1">
      <alignment horizontal="center" vertical="center"/>
    </xf>
    <xf numFmtId="0" fontId="13" fillId="15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13" fillId="4" borderId="0" xfId="0" applyFont="1" applyFill="1" applyAlignment="1">
      <alignment horizontal="center" wrapText="1"/>
    </xf>
    <xf numFmtId="0" fontId="3" fillId="16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13" borderId="0" xfId="0" applyFont="1" applyFill="1" applyAlignment="1">
      <alignment horizontal="center"/>
    </xf>
    <xf numFmtId="0" fontId="13" fillId="4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0" fontId="3" fillId="13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13" fillId="1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6" borderId="0" xfId="0" applyFont="1" applyFill="1" applyAlignment="1">
      <alignment horizontal="left"/>
    </xf>
    <xf numFmtId="0" fontId="7" fillId="20" borderId="0" xfId="0" applyFont="1" applyFill="1" applyAlignment="1">
      <alignment horizontal="left"/>
    </xf>
    <xf numFmtId="0" fontId="4" fillId="20" borderId="0" xfId="0" applyFont="1" applyFill="1" applyAlignment="1">
      <alignment horizontal="left"/>
    </xf>
    <xf numFmtId="0" fontId="4" fillId="20" borderId="0" xfId="0" applyFont="1" applyFill="1"/>
    <xf numFmtId="0" fontId="7" fillId="20" borderId="0" xfId="0" applyFont="1" applyFill="1"/>
    <xf numFmtId="0" fontId="7" fillId="12" borderId="0" xfId="0" applyFont="1" applyFill="1" applyAlignment="1">
      <alignment horizontal="left" vertical="center"/>
    </xf>
    <xf numFmtId="9" fontId="4" fillId="20" borderId="0" xfId="2" applyFont="1" applyFill="1" applyBorder="1" applyAlignment="1">
      <alignment horizontal="left"/>
    </xf>
    <xf numFmtId="0" fontId="7" fillId="20" borderId="0" xfId="0" applyFont="1" applyFill="1" applyAlignment="1">
      <alignment vertical="center"/>
    </xf>
    <xf numFmtId="3" fontId="7" fillId="20" borderId="0" xfId="0" applyNumberFormat="1" applyFont="1" applyFill="1" applyAlignment="1">
      <alignment horizontal="left"/>
    </xf>
    <xf numFmtId="3" fontId="4" fillId="20" borderId="0" xfId="0" applyNumberFormat="1" applyFont="1" applyFill="1" applyAlignment="1">
      <alignment horizontal="left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46">
    <dxf>
      <font>
        <color theme="0" tint="-0.14996795556505021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minor"/>
      </font>
      <alignment horizontal="left" vertical="center" textRotation="0" wrapText="0" indent="0" justifyLastLine="0" shrinkToFit="0" readingOrder="1"/>
      <border diagonalUp="0" diagonalDown="0" outline="0">
        <left style="thin">
          <color theme="3" tint="0.39997558519241921"/>
        </left>
        <right style="thin">
          <color theme="3" tint="0.39997558519241921"/>
        </right>
        <top style="thin">
          <color theme="3" tint="0.39997558519241921"/>
        </top>
        <bottom style="thin">
          <color theme="3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minor"/>
      </font>
      <alignment horizontal="left" vertical="center" textRotation="0" wrapText="0" indent="0" justifyLastLine="0" shrinkToFit="0" readingOrder="1"/>
      <border diagonalUp="0" diagonalDown="0" outline="0">
        <left style="thin">
          <color theme="3" tint="0.39997558519241921"/>
        </left>
        <right style="thin">
          <color theme="3" tint="0.39997558519241921"/>
        </right>
        <top style="thin">
          <color theme="3" tint="0.39997558519241921"/>
        </top>
        <bottom style="thin">
          <color theme="3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family val="2"/>
        <scheme val="minor"/>
      </font>
      <fill>
        <patternFill patternType="solid">
          <fgColor indexed="64"/>
          <bgColor theme="3"/>
        </patternFill>
      </fill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rgb="FF000000"/>
        <name val="Aptos Narrow"/>
        <family val="2"/>
        <scheme val="minor"/>
      </font>
      <alignment horizontal="left" vertical="center" textRotation="0" wrapText="0" indent="0" justifyLastLine="0" shrinkToFit="0" readingOrder="1"/>
      <border diagonalUp="0" diagonalDown="0" outline="0">
        <left style="thin">
          <color theme="3" tint="0.39997558519241921"/>
        </left>
        <right style="thin">
          <color theme="3" tint="0.39997558519241921"/>
        </right>
        <top style="thin">
          <color theme="3" tint="0.39997558519241921"/>
        </top>
        <bottom style="thin">
          <color theme="3" tint="0.39997558519241921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Aptos Narrow"/>
        <family val="2"/>
        <scheme val="minor"/>
      </font>
      <alignment horizontal="left" vertical="center" textRotation="0" wrapText="0" indent="0" justifyLastLine="0" shrinkToFit="0" readingOrder="1"/>
      <border diagonalUp="0" diagonalDown="0" outline="0">
        <left style="thin">
          <color theme="3" tint="0.39997558519241921"/>
        </left>
        <right style="thin">
          <color theme="3" tint="0.39997558519241921"/>
        </right>
        <top style="thin">
          <color theme="3" tint="0.39997558519241921"/>
        </top>
        <bottom style="thin">
          <color theme="3" tint="0.39997558519241921"/>
        </bottom>
      </border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family val="2"/>
        <scheme val="minor"/>
      </font>
      <fill>
        <patternFill patternType="solid">
          <fgColor indexed="64"/>
          <bgColor theme="3"/>
        </patternFill>
      </fill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B5E9F9"/>
      <color rgb="FF084C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r>
              <a:rPr lang="en-US" b="1"/>
              <a:t>Proficiency of a person with no training and average innate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Light" panose="020F0302020204030204" pitchFamily="34" charset="0"/>
              <a:ea typeface="Calibri Light" panose="020F0302020204030204" pitchFamily="34" charset="0"/>
              <a:cs typeface="Calibri Light" panose="020F030202020403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703971175200735"/>
          <c:y val="0.16782805429864253"/>
          <c:w val="0.58332325511028005"/>
          <c:h val="0.73661417322834644"/>
        </c:manualLayout>
      </c:layout>
      <c:lineChart>
        <c:grouping val="standard"/>
        <c:varyColors val="0"/>
        <c:ser>
          <c:idx val="1"/>
          <c:order val="0"/>
          <c:tx>
            <c:strRef>
              <c:f>'Business profitability model'!$E$134</c:f>
              <c:strCache>
                <c:ptCount val="1"/>
                <c:pt idx="0">
                  <c:v>Impact of experience on proficiency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model'!$F$134:$AT$134</c:f>
              <c:numCache>
                <c:formatCode>General</c:formatCode>
                <c:ptCount val="41"/>
                <c:pt idx="0">
                  <c:v>0</c:v>
                </c:pt>
                <c:pt idx="1">
                  <c:v>6.6666666666666652E-2</c:v>
                </c:pt>
                <c:pt idx="2">
                  <c:v>0.1333333333333333</c:v>
                </c:pt>
                <c:pt idx="3">
                  <c:v>0.19999999999999996</c:v>
                </c:pt>
                <c:pt idx="4">
                  <c:v>0.26666666666666672</c:v>
                </c:pt>
                <c:pt idx="5">
                  <c:v>0.33333333333333337</c:v>
                </c:pt>
                <c:pt idx="6">
                  <c:v>0.4</c:v>
                </c:pt>
                <c:pt idx="7">
                  <c:v>0.46666666666666667</c:v>
                </c:pt>
                <c:pt idx="8">
                  <c:v>0.53333333333333333</c:v>
                </c:pt>
                <c:pt idx="9">
                  <c:v>0.6</c:v>
                </c:pt>
                <c:pt idx="10">
                  <c:v>0.66666666666666674</c:v>
                </c:pt>
                <c:pt idx="11">
                  <c:v>0.73333333333333339</c:v>
                </c:pt>
                <c:pt idx="12">
                  <c:v>0.8</c:v>
                </c:pt>
                <c:pt idx="13">
                  <c:v>0.8666666666666667</c:v>
                </c:pt>
                <c:pt idx="14">
                  <c:v>0.93333333333333335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0F-4944-9C82-21A9329F4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3119360"/>
        <c:axId val="253122240"/>
      </c:lineChart>
      <c:catAx>
        <c:axId val="253119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endParaRPr lang="en-US"/>
          </a:p>
        </c:txPr>
        <c:crossAx val="25312224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3122240"/>
        <c:scaling>
          <c:orientation val="minMax"/>
          <c:max val="2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endParaRPr lang="en-US"/>
          </a:p>
        </c:txPr>
        <c:crossAx val="253119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019776656227231"/>
          <c:y val="0.16707532624855456"/>
          <c:w val="0.24416121575816985"/>
          <c:h val="0.213576620230163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Light" panose="020F0302020204030204" pitchFamily="34" charset="0"/>
              <a:ea typeface="Calibri Light" panose="020F0302020204030204" pitchFamily="34" charset="0"/>
              <a:cs typeface="Calibri Light" panose="020F03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Light" panose="020F0302020204030204" pitchFamily="34" charset="0"/>
          <a:ea typeface="Calibri Light" panose="020F0302020204030204" pitchFamily="34" charset="0"/>
          <a:cs typeface="Calibri Light" panose="020F03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000" b="1"/>
              <a:t>By experience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0277806183318"/>
          <c:y val="0.17171296296296296"/>
          <c:w val="0.2260459488018543"/>
          <c:h val="0.72125801983085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'Dashboard chart data'!$H$38</c:f>
              <c:strCache>
                <c:ptCount val="1"/>
                <c:pt idx="0">
                  <c:v>-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'Dashboard chart data'!$I$38</c:f>
              <c:numCache>
                <c:formatCode>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4C-4B67-812F-B725B1F38D13}"/>
            </c:ext>
          </c:extLst>
        </c:ser>
        <c:ser>
          <c:idx val="1"/>
          <c:order val="1"/>
          <c:tx>
            <c:strRef>
              <c:f>'Dashboard chart data'!$H$39</c:f>
              <c:strCache>
                <c:ptCount val="1"/>
                <c:pt idx="0">
                  <c:v>1 to 2 years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'Dashboard chart data'!$I$39</c:f>
              <c:numCache>
                <c:formatCode>0%</c:formatCode>
                <c:ptCount val="1"/>
                <c:pt idx="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4C-4B67-812F-B725B1F38D13}"/>
            </c:ext>
          </c:extLst>
        </c:ser>
        <c:ser>
          <c:idx val="2"/>
          <c:order val="2"/>
          <c:tx>
            <c:strRef>
              <c:f>'Dashboard chart data'!$H$40</c:f>
              <c:strCache>
                <c:ptCount val="1"/>
                <c:pt idx="0">
                  <c:v>2 to 4 years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'Dashboard chart data'!$I$40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44C-4B67-812F-B725B1F38D13}"/>
            </c:ext>
          </c:extLst>
        </c:ser>
        <c:ser>
          <c:idx val="3"/>
          <c:order val="3"/>
          <c:tx>
            <c:strRef>
              <c:f>'Dashboard chart data'!$H$41</c:f>
              <c:strCache>
                <c:ptCount val="1"/>
                <c:pt idx="0">
                  <c:v>5 to 10 years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'Dashboard chart data'!$I$41</c:f>
              <c:numCache>
                <c:formatCode>0%</c:formatCode>
                <c:ptCount val="1"/>
                <c:pt idx="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44C-4B67-812F-B725B1F38D13}"/>
            </c:ext>
          </c:extLst>
        </c:ser>
        <c:ser>
          <c:idx val="4"/>
          <c:order val="4"/>
          <c:tx>
            <c:strRef>
              <c:f>'Dashboard chart data'!$H$42</c:f>
              <c:strCache>
                <c:ptCount val="1"/>
                <c:pt idx="0">
                  <c:v>-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'Dashboard chart data'!$I$42</c:f>
              <c:numCache>
                <c:formatCode>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8B-44EC-909D-37BC6C9B2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8340159"/>
        <c:axId val="1868342079"/>
      </c:barChart>
      <c:catAx>
        <c:axId val="186834015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68342079"/>
        <c:crosses val="autoZero"/>
        <c:auto val="1"/>
        <c:lblAlgn val="ctr"/>
        <c:lblOffset val="100"/>
        <c:noMultiLvlLbl val="0"/>
      </c:catAx>
      <c:valAx>
        <c:axId val="1868342079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340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0825135494426834"/>
          <c:y val="0.18027357157278417"/>
          <c:w val="0.30962822685139046"/>
          <c:h val="0.54086917019987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000" b="1"/>
              <a:t>By experience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0277806183318"/>
          <c:y val="0.17171296296296296"/>
          <c:w val="0.2260459488018543"/>
          <c:h val="0.72125801983085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'Dashboard chart data'!$K$38</c:f>
              <c:strCache>
                <c:ptCount val="1"/>
                <c:pt idx="0">
                  <c:v>No post-secondary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'Dashboard chart data'!$L$38</c:f>
              <c:numCache>
                <c:formatCode>0%</c:formatCode>
                <c:ptCount val="1"/>
                <c:pt idx="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4C-4B67-812F-B725B1F38D13}"/>
            </c:ext>
          </c:extLst>
        </c:ser>
        <c:ser>
          <c:idx val="1"/>
          <c:order val="1"/>
          <c:tx>
            <c:strRef>
              <c:f>'Dashboard chart data'!$K$39</c:f>
              <c:strCache>
                <c:ptCount val="1"/>
                <c:pt idx="0">
                  <c:v>Level 1-2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'Dashboard chart data'!$L$39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4C-4B67-812F-B725B1F38D13}"/>
            </c:ext>
          </c:extLst>
        </c:ser>
        <c:ser>
          <c:idx val="2"/>
          <c:order val="2"/>
          <c:tx>
            <c:strRef>
              <c:f>'Dashboard chart data'!$K$40</c:f>
              <c:strCache>
                <c:ptCount val="1"/>
                <c:pt idx="0">
                  <c:v>Level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'Dashboard chart data'!$L$40</c:f>
              <c:numCache>
                <c:formatCode>0%</c:formatCode>
                <c:ptCount val="1"/>
                <c:pt idx="0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44C-4B67-812F-B725B1F38D13}"/>
            </c:ext>
          </c:extLst>
        </c:ser>
        <c:ser>
          <c:idx val="3"/>
          <c:order val="3"/>
          <c:tx>
            <c:strRef>
              <c:f>'Dashboard chart data'!$K$41</c:f>
              <c:strCache>
                <c:ptCount val="1"/>
                <c:pt idx="0">
                  <c:v>Level 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'Dashboard chart data'!$L$41</c:f>
              <c:numCache>
                <c:formatCode>0%</c:formatCode>
                <c:ptCount val="1"/>
                <c:pt idx="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44C-4B67-812F-B725B1F38D13}"/>
            </c:ext>
          </c:extLst>
        </c:ser>
        <c:ser>
          <c:idx val="4"/>
          <c:order val="4"/>
          <c:tx>
            <c:strRef>
              <c:f>'Dashboard chart data'!$K$42</c:f>
              <c:strCache>
                <c:ptCount val="1"/>
                <c:pt idx="0">
                  <c:v>Level 5-6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'Dashboard chart data'!$L$42</c:f>
              <c:numCache>
                <c:formatCode>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8B-44EC-909D-37BC6C9B2058}"/>
            </c:ext>
          </c:extLst>
        </c:ser>
        <c:ser>
          <c:idx val="5"/>
          <c:order val="5"/>
          <c:tx>
            <c:strRef>
              <c:f>'Dashboard chart data'!$K$43</c:f>
              <c:strCache>
                <c:ptCount val="1"/>
                <c:pt idx="0">
                  <c:v>Level 7+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'Dashboard chart data'!$L$43</c:f>
              <c:numCache>
                <c:formatCode>0%</c:formatCode>
                <c:ptCount val="1"/>
                <c:pt idx="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6D-42A0-A055-D55120907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8340159"/>
        <c:axId val="1868342079"/>
      </c:barChart>
      <c:catAx>
        <c:axId val="186834015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68342079"/>
        <c:crosses val="autoZero"/>
        <c:auto val="1"/>
        <c:lblAlgn val="ctr"/>
        <c:lblOffset val="100"/>
        <c:noMultiLvlLbl val="0"/>
      </c:catAx>
      <c:valAx>
        <c:axId val="1868342079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340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0825135494426834"/>
          <c:y val="0.18027357157278417"/>
          <c:w val="0.22437456393900129"/>
          <c:h val="0.71154451847365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000" b="1"/>
              <a:t>By industry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8004951085659751E-2"/>
          <c:y val="0.17171296296296296"/>
          <c:w val="0.32831871868289197"/>
          <c:h val="0.72125801983085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'Dashboard chart data'!$B$38</c:f>
              <c:strCache>
                <c:ptCount val="1"/>
                <c:pt idx="0">
                  <c:v>Dairy farming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data'!$C$38</c:f>
              <c:numCache>
                <c:formatCode>0%</c:formatCode>
                <c:ptCount val="1"/>
                <c:pt idx="0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94-4925-B292-6C717C2ABF49}"/>
            </c:ext>
          </c:extLst>
        </c:ser>
        <c:ser>
          <c:idx val="1"/>
          <c:order val="1"/>
          <c:tx>
            <c:strRef>
              <c:f>'Dashboard chart data'!$B$39</c:f>
              <c:strCache>
                <c:ptCount val="1"/>
                <c:pt idx="0">
                  <c:v>Fruit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data'!$C$39</c:f>
              <c:numCache>
                <c:formatCode>0%</c:formatCode>
                <c:ptCount val="1"/>
                <c:pt idx="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94-4925-B292-6C717C2ABF49}"/>
            </c:ext>
          </c:extLst>
        </c:ser>
        <c:ser>
          <c:idx val="2"/>
          <c:order val="2"/>
          <c:tx>
            <c:strRef>
              <c:f>'Dashboard chart data'!$B$40</c:f>
              <c:strCache>
                <c:ptCount val="1"/>
                <c:pt idx="0">
                  <c:v>Arable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data'!$C$40</c:f>
              <c:numCache>
                <c:formatCode>0%</c:formatCode>
                <c:ptCount val="1"/>
                <c:pt idx="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94-4925-B292-6C717C2ABF49}"/>
            </c:ext>
          </c:extLst>
        </c:ser>
        <c:ser>
          <c:idx val="3"/>
          <c:order val="3"/>
          <c:tx>
            <c:strRef>
              <c:f>'Dashboard chart data'!$B$41</c:f>
              <c:strCache>
                <c:ptCount val="1"/>
                <c:pt idx="0">
                  <c:v>Grapes and wine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data'!$C$41</c:f>
              <c:numCache>
                <c:formatCode>0%</c:formatCode>
                <c:ptCount val="1"/>
                <c:pt idx="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94-4925-B292-6C717C2ABF49}"/>
            </c:ext>
          </c:extLst>
        </c:ser>
        <c:ser>
          <c:idx val="4"/>
          <c:order val="4"/>
          <c:tx>
            <c:strRef>
              <c:f>'Dashboard chart data'!$B$42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data'!$C$42</c:f>
              <c:numCache>
                <c:formatCode>0%</c:formatCode>
                <c:ptCount val="1"/>
                <c:pt idx="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94-4925-B292-6C717C2ABF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8340159"/>
        <c:axId val="1868342079"/>
      </c:barChart>
      <c:catAx>
        <c:axId val="186834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342079"/>
        <c:crosses val="autoZero"/>
        <c:auto val="1"/>
        <c:lblAlgn val="ctr"/>
        <c:lblOffset val="100"/>
        <c:noMultiLvlLbl val="0"/>
      </c:catAx>
      <c:valAx>
        <c:axId val="1868342079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1868340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6104119495792641"/>
          <c:y val="0.18027357157278417"/>
          <c:w val="0.59961745125206989"/>
          <c:h val="0.71154451847365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 sz="1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000" b="1"/>
              <a:t>By role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8004951085659751E-2"/>
          <c:y val="0.17171296296296296"/>
          <c:w val="0.32831871868289197"/>
          <c:h val="0.72125801983085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'Dashboard chart data'!$E$38</c:f>
              <c:strCache>
                <c:ptCount val="1"/>
                <c:pt idx="0">
                  <c:v>Semi-autonomous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data'!$F$38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94-4925-B292-6C717C2ABF49}"/>
            </c:ext>
          </c:extLst>
        </c:ser>
        <c:ser>
          <c:idx val="1"/>
          <c:order val="1"/>
          <c:tx>
            <c:strRef>
              <c:f>'Dashboard chart data'!$E$39</c:f>
              <c:strCache>
                <c:ptCount val="1"/>
                <c:pt idx="0">
                  <c:v>Managed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data'!$F$39</c:f>
              <c:numCache>
                <c:formatCode>0%</c:formatCode>
                <c:ptCount val="1"/>
                <c:pt idx="0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94-4925-B292-6C717C2ABF49}"/>
            </c:ext>
          </c:extLst>
        </c:ser>
        <c:ser>
          <c:idx val="2"/>
          <c:order val="2"/>
          <c:tx>
            <c:strRef>
              <c:f>'Dashboard chart data'!$E$40</c:f>
              <c:strCache>
                <c:ptCount val="1"/>
                <c:pt idx="0">
                  <c:v>Manager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FEB-47BF-A4A5-7E4F514142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data'!$F$40</c:f>
              <c:numCache>
                <c:formatCode>0%</c:formatCode>
                <c:ptCount val="1"/>
                <c:pt idx="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94-4925-B292-6C717C2ABF49}"/>
            </c:ext>
          </c:extLst>
        </c:ser>
        <c:ser>
          <c:idx val="3"/>
          <c:order val="3"/>
          <c:tx>
            <c:strRef>
              <c:f>'Dashboard chart data'!$E$41</c:f>
              <c:strCache>
                <c:ptCount val="1"/>
                <c:pt idx="0">
                  <c:v>-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data'!$F$41</c:f>
              <c:numCache>
                <c:formatCode>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94-4925-B292-6C717C2ABF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8340159"/>
        <c:axId val="1868342079"/>
      </c:barChart>
      <c:catAx>
        <c:axId val="186834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342079"/>
        <c:crosses val="autoZero"/>
        <c:auto val="1"/>
        <c:lblAlgn val="ctr"/>
        <c:lblOffset val="100"/>
        <c:noMultiLvlLbl val="0"/>
      </c:catAx>
      <c:valAx>
        <c:axId val="1868342079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1868340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9683887901109133"/>
          <c:y val="0.18027357157278417"/>
          <c:w val="0.55094437388874773"/>
          <c:h val="0.71154451847365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000" b="1"/>
              <a:t>By experience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8004951085659751E-2"/>
          <c:y val="0.17171296296296296"/>
          <c:w val="0.32831871868289197"/>
          <c:h val="0.72125801983085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'Dashboard chart data'!$H$38</c:f>
              <c:strCache>
                <c:ptCount val="1"/>
                <c:pt idx="0">
                  <c:v>-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data'!$I$38</c:f>
              <c:numCache>
                <c:formatCode>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94-4925-B292-6C717C2ABF49}"/>
            </c:ext>
          </c:extLst>
        </c:ser>
        <c:ser>
          <c:idx val="1"/>
          <c:order val="1"/>
          <c:tx>
            <c:strRef>
              <c:f>'Dashboard chart data'!$H$39</c:f>
              <c:strCache>
                <c:ptCount val="1"/>
                <c:pt idx="0">
                  <c:v>1 to 2 years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data'!$I$39</c:f>
              <c:numCache>
                <c:formatCode>0%</c:formatCode>
                <c:ptCount val="1"/>
                <c:pt idx="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94-4925-B292-6C717C2ABF49}"/>
            </c:ext>
          </c:extLst>
        </c:ser>
        <c:ser>
          <c:idx val="2"/>
          <c:order val="2"/>
          <c:tx>
            <c:strRef>
              <c:f>'Dashboard chart data'!$H$40</c:f>
              <c:strCache>
                <c:ptCount val="1"/>
                <c:pt idx="0">
                  <c:v>2 to 4 years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data'!$I$40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94-4925-B292-6C717C2ABF49}"/>
            </c:ext>
          </c:extLst>
        </c:ser>
        <c:ser>
          <c:idx val="3"/>
          <c:order val="3"/>
          <c:tx>
            <c:strRef>
              <c:f>'Dashboard chart data'!$H$41</c:f>
              <c:strCache>
                <c:ptCount val="1"/>
                <c:pt idx="0">
                  <c:v>5 to 10 years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data'!$I$41</c:f>
              <c:numCache>
                <c:formatCode>0%</c:formatCode>
                <c:ptCount val="1"/>
                <c:pt idx="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94-4925-B292-6C717C2ABF49}"/>
            </c:ext>
          </c:extLst>
        </c:ser>
        <c:ser>
          <c:idx val="4"/>
          <c:order val="4"/>
          <c:tx>
            <c:strRef>
              <c:f>'Dashboard chart data'!$H$42</c:f>
              <c:strCache>
                <c:ptCount val="1"/>
                <c:pt idx="0">
                  <c:v>-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data'!$I$42</c:f>
              <c:numCache>
                <c:formatCode>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B8-459D-98D7-B1EC538F7D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8340159"/>
        <c:axId val="1868342079"/>
      </c:barChart>
      <c:catAx>
        <c:axId val="186834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342079"/>
        <c:crosses val="autoZero"/>
        <c:auto val="1"/>
        <c:lblAlgn val="ctr"/>
        <c:lblOffset val="100"/>
        <c:noMultiLvlLbl val="0"/>
      </c:catAx>
      <c:valAx>
        <c:axId val="1868342079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1868340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0825131233595796"/>
          <c:y val="0.18027357157278417"/>
          <c:w val="0.46998806967310902"/>
          <c:h val="0.68639289319604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000" b="1"/>
              <a:t>By prior training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8004951085659751E-2"/>
          <c:y val="0.17171296296296296"/>
          <c:w val="0.32831871868289197"/>
          <c:h val="0.72125801983085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'Dashboard chart data'!$K$38</c:f>
              <c:strCache>
                <c:ptCount val="1"/>
                <c:pt idx="0">
                  <c:v>No post-secondary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data'!$L$38</c:f>
              <c:numCache>
                <c:formatCode>0%</c:formatCode>
                <c:ptCount val="1"/>
                <c:pt idx="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94-4925-B292-6C717C2ABF49}"/>
            </c:ext>
          </c:extLst>
        </c:ser>
        <c:ser>
          <c:idx val="1"/>
          <c:order val="1"/>
          <c:tx>
            <c:strRef>
              <c:f>'Dashboard chart data'!$K$39</c:f>
              <c:strCache>
                <c:ptCount val="1"/>
                <c:pt idx="0">
                  <c:v>Level 1-2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data'!$L$39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94-4925-B292-6C717C2ABF49}"/>
            </c:ext>
          </c:extLst>
        </c:ser>
        <c:ser>
          <c:idx val="2"/>
          <c:order val="2"/>
          <c:tx>
            <c:strRef>
              <c:f>'Dashboard chart data'!$K$40</c:f>
              <c:strCache>
                <c:ptCount val="1"/>
                <c:pt idx="0">
                  <c:v>Level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data'!$L$40</c:f>
              <c:numCache>
                <c:formatCode>0%</c:formatCode>
                <c:ptCount val="1"/>
                <c:pt idx="0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94-4925-B292-6C717C2ABF49}"/>
            </c:ext>
          </c:extLst>
        </c:ser>
        <c:ser>
          <c:idx val="3"/>
          <c:order val="3"/>
          <c:tx>
            <c:strRef>
              <c:f>'Dashboard chart data'!$K$41</c:f>
              <c:strCache>
                <c:ptCount val="1"/>
                <c:pt idx="0">
                  <c:v>Level 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data'!$L$41</c:f>
              <c:numCache>
                <c:formatCode>0%</c:formatCode>
                <c:ptCount val="1"/>
                <c:pt idx="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94-4925-B292-6C717C2ABF49}"/>
            </c:ext>
          </c:extLst>
        </c:ser>
        <c:ser>
          <c:idx val="4"/>
          <c:order val="4"/>
          <c:tx>
            <c:strRef>
              <c:f>'Dashboard chart data'!$K$42</c:f>
              <c:strCache>
                <c:ptCount val="1"/>
                <c:pt idx="0">
                  <c:v>Level 5-6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6E-4C92-AB30-A81141324A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data'!$L$42</c:f>
              <c:numCache>
                <c:formatCode>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B8-459D-98D7-B1EC538F7D7D}"/>
            </c:ext>
          </c:extLst>
        </c:ser>
        <c:ser>
          <c:idx val="5"/>
          <c:order val="5"/>
          <c:tx>
            <c:strRef>
              <c:f>'Dashboard chart data'!$K$43</c:f>
              <c:strCache>
                <c:ptCount val="1"/>
                <c:pt idx="0">
                  <c:v>Level 7+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'Dashboard chart data'!$L$43</c:f>
              <c:numCache>
                <c:formatCode>0%</c:formatCode>
                <c:ptCount val="1"/>
                <c:pt idx="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6E-4C92-AB30-A81141324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8340159"/>
        <c:axId val="1868342079"/>
      </c:barChart>
      <c:catAx>
        <c:axId val="186834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342079"/>
        <c:crosses val="autoZero"/>
        <c:auto val="1"/>
        <c:lblAlgn val="ctr"/>
        <c:lblOffset val="100"/>
        <c:noMultiLvlLbl val="0"/>
      </c:catAx>
      <c:valAx>
        <c:axId val="1868342079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1868340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1404318008636015"/>
          <c:y val="0.18027357157278417"/>
          <c:w val="0.53283075099483534"/>
          <c:h val="0.686303250555219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r>
              <a:rPr lang="en-US" b="1"/>
              <a:t>Impact of experience and inate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Light" panose="020F0302020204030204" pitchFamily="34" charset="0"/>
              <a:ea typeface="Calibri Light" panose="020F0302020204030204" pitchFamily="34" charset="0"/>
              <a:cs typeface="Calibri Light" panose="020F030202020403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703971175200735"/>
          <c:y val="0.16782805429864253"/>
          <c:w val="0.57543662510609306"/>
          <c:h val="0.73661417322834644"/>
        </c:manualLayout>
      </c:layout>
      <c:lineChart>
        <c:grouping val="standard"/>
        <c:varyColors val="0"/>
        <c:ser>
          <c:idx val="1"/>
          <c:order val="0"/>
          <c:tx>
            <c:strRef>
              <c:f>'Business profitability model'!$E$163</c:f>
              <c:strCache>
                <c:ptCount val="1"/>
                <c:pt idx="0">
                  <c:v>+ 3sd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model'!$F$163:$AT$163</c:f>
              <c:numCache>
                <c:formatCode>General</c:formatCode>
                <c:ptCount val="41"/>
                <c:pt idx="0">
                  <c:v>0.75</c:v>
                </c:pt>
                <c:pt idx="1">
                  <c:v>0.81666666666666665</c:v>
                </c:pt>
                <c:pt idx="2">
                  <c:v>0.8833333333333333</c:v>
                </c:pt>
                <c:pt idx="3">
                  <c:v>0.95</c:v>
                </c:pt>
                <c:pt idx="4">
                  <c:v>1.0166666666666666</c:v>
                </c:pt>
                <c:pt idx="5">
                  <c:v>1.0833333333333335</c:v>
                </c:pt>
                <c:pt idx="6">
                  <c:v>1.1499999999999999</c:v>
                </c:pt>
                <c:pt idx="7">
                  <c:v>1.2166666666666668</c:v>
                </c:pt>
                <c:pt idx="8">
                  <c:v>1.2833333333333332</c:v>
                </c:pt>
                <c:pt idx="9">
                  <c:v>1.35</c:v>
                </c:pt>
                <c:pt idx="10">
                  <c:v>1.4166666666666667</c:v>
                </c:pt>
                <c:pt idx="11">
                  <c:v>1.4833333333333334</c:v>
                </c:pt>
                <c:pt idx="12">
                  <c:v>1.55</c:v>
                </c:pt>
                <c:pt idx="13">
                  <c:v>1.6166666666666667</c:v>
                </c:pt>
                <c:pt idx="14">
                  <c:v>1.6833333333333333</c:v>
                </c:pt>
                <c:pt idx="15">
                  <c:v>1.75</c:v>
                </c:pt>
                <c:pt idx="16">
                  <c:v>1.75</c:v>
                </c:pt>
                <c:pt idx="17">
                  <c:v>1.75</c:v>
                </c:pt>
                <c:pt idx="18">
                  <c:v>1.75</c:v>
                </c:pt>
                <c:pt idx="19">
                  <c:v>1.75</c:v>
                </c:pt>
                <c:pt idx="20">
                  <c:v>1.75</c:v>
                </c:pt>
                <c:pt idx="21">
                  <c:v>1.75</c:v>
                </c:pt>
                <c:pt idx="22">
                  <c:v>1.75</c:v>
                </c:pt>
                <c:pt idx="23">
                  <c:v>1.75</c:v>
                </c:pt>
                <c:pt idx="24">
                  <c:v>1.75</c:v>
                </c:pt>
                <c:pt idx="25">
                  <c:v>1.75</c:v>
                </c:pt>
                <c:pt idx="26">
                  <c:v>1.75</c:v>
                </c:pt>
                <c:pt idx="27">
                  <c:v>1.75</c:v>
                </c:pt>
                <c:pt idx="28">
                  <c:v>1.75</c:v>
                </c:pt>
                <c:pt idx="29">
                  <c:v>1.75</c:v>
                </c:pt>
                <c:pt idx="30">
                  <c:v>1.75</c:v>
                </c:pt>
                <c:pt idx="31">
                  <c:v>1.75</c:v>
                </c:pt>
                <c:pt idx="32">
                  <c:v>1.75</c:v>
                </c:pt>
                <c:pt idx="33">
                  <c:v>1.75</c:v>
                </c:pt>
                <c:pt idx="34">
                  <c:v>1.75</c:v>
                </c:pt>
                <c:pt idx="35">
                  <c:v>1.75</c:v>
                </c:pt>
                <c:pt idx="36">
                  <c:v>1.75</c:v>
                </c:pt>
                <c:pt idx="37">
                  <c:v>1.75</c:v>
                </c:pt>
                <c:pt idx="38">
                  <c:v>1.75</c:v>
                </c:pt>
                <c:pt idx="39">
                  <c:v>1.75</c:v>
                </c:pt>
                <c:pt idx="40">
                  <c:v>1.75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0F-4944-9C82-21A9329F4CC3}"/>
            </c:ext>
          </c:extLst>
        </c:ser>
        <c:ser>
          <c:idx val="0"/>
          <c:order val="1"/>
          <c:tx>
            <c:strRef>
              <c:f>'Business profitability model'!$E$164</c:f>
              <c:strCache>
                <c:ptCount val="1"/>
                <c:pt idx="0">
                  <c:v>+ 2sd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model'!$F$164:$AT$164</c:f>
              <c:numCache>
                <c:formatCode>General</c:formatCode>
                <c:ptCount val="41"/>
                <c:pt idx="0">
                  <c:v>0.5</c:v>
                </c:pt>
                <c:pt idx="1">
                  <c:v>0.56666666666666665</c:v>
                </c:pt>
                <c:pt idx="2">
                  <c:v>0.6333333333333333</c:v>
                </c:pt>
                <c:pt idx="3">
                  <c:v>0.7</c:v>
                </c:pt>
                <c:pt idx="4">
                  <c:v>0.76666666666666672</c:v>
                </c:pt>
                <c:pt idx="5">
                  <c:v>0.83333333333333337</c:v>
                </c:pt>
                <c:pt idx="6">
                  <c:v>0.9</c:v>
                </c:pt>
                <c:pt idx="7">
                  <c:v>0.96666666666666667</c:v>
                </c:pt>
                <c:pt idx="8">
                  <c:v>1.0333333333333332</c:v>
                </c:pt>
                <c:pt idx="9">
                  <c:v>1.1000000000000001</c:v>
                </c:pt>
                <c:pt idx="10">
                  <c:v>1.1666666666666667</c:v>
                </c:pt>
                <c:pt idx="11">
                  <c:v>1.2333333333333334</c:v>
                </c:pt>
                <c:pt idx="12">
                  <c:v>1.3</c:v>
                </c:pt>
                <c:pt idx="13">
                  <c:v>1.3666666666666667</c:v>
                </c:pt>
                <c:pt idx="14">
                  <c:v>1.4333333333333333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4-46B0-AA03-540C5F135C34}"/>
            </c:ext>
          </c:extLst>
        </c:ser>
        <c:ser>
          <c:idx val="2"/>
          <c:order val="2"/>
          <c:tx>
            <c:strRef>
              <c:f>'Business profitability model'!$E$165</c:f>
              <c:strCache>
                <c:ptCount val="1"/>
                <c:pt idx="0">
                  <c:v>+ 1sd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model'!$F$165:$AT$165</c:f>
              <c:numCache>
                <c:formatCode>General</c:formatCode>
                <c:ptCount val="41"/>
                <c:pt idx="0">
                  <c:v>0.25</c:v>
                </c:pt>
                <c:pt idx="1">
                  <c:v>0.31666666666666665</c:v>
                </c:pt>
                <c:pt idx="2">
                  <c:v>0.3833333333333333</c:v>
                </c:pt>
                <c:pt idx="3">
                  <c:v>0.44999999999999996</c:v>
                </c:pt>
                <c:pt idx="4">
                  <c:v>0.51666666666666672</c:v>
                </c:pt>
                <c:pt idx="5">
                  <c:v>0.58333333333333337</c:v>
                </c:pt>
                <c:pt idx="6">
                  <c:v>0.65</c:v>
                </c:pt>
                <c:pt idx="7">
                  <c:v>0.71666666666666667</c:v>
                </c:pt>
                <c:pt idx="8">
                  <c:v>0.78333333333333333</c:v>
                </c:pt>
                <c:pt idx="9">
                  <c:v>0.85</c:v>
                </c:pt>
                <c:pt idx="10">
                  <c:v>0.91666666666666674</c:v>
                </c:pt>
                <c:pt idx="11">
                  <c:v>0.98333333333333339</c:v>
                </c:pt>
                <c:pt idx="12">
                  <c:v>1.05</c:v>
                </c:pt>
                <c:pt idx="13">
                  <c:v>1.1166666666666667</c:v>
                </c:pt>
                <c:pt idx="14">
                  <c:v>1.1833333333333333</c:v>
                </c:pt>
                <c:pt idx="15">
                  <c:v>1.25</c:v>
                </c:pt>
                <c:pt idx="16">
                  <c:v>1.25</c:v>
                </c:pt>
                <c:pt idx="17">
                  <c:v>1.25</c:v>
                </c:pt>
                <c:pt idx="18">
                  <c:v>1.25</c:v>
                </c:pt>
                <c:pt idx="19">
                  <c:v>1.25</c:v>
                </c:pt>
                <c:pt idx="20">
                  <c:v>1.25</c:v>
                </c:pt>
                <c:pt idx="21">
                  <c:v>1.25</c:v>
                </c:pt>
                <c:pt idx="22">
                  <c:v>1.25</c:v>
                </c:pt>
                <c:pt idx="23">
                  <c:v>1.25</c:v>
                </c:pt>
                <c:pt idx="24">
                  <c:v>1.25</c:v>
                </c:pt>
                <c:pt idx="25">
                  <c:v>1.25</c:v>
                </c:pt>
                <c:pt idx="26">
                  <c:v>1.25</c:v>
                </c:pt>
                <c:pt idx="27">
                  <c:v>1.25</c:v>
                </c:pt>
                <c:pt idx="28">
                  <c:v>1.25</c:v>
                </c:pt>
                <c:pt idx="29">
                  <c:v>1.25</c:v>
                </c:pt>
                <c:pt idx="30">
                  <c:v>1.25</c:v>
                </c:pt>
                <c:pt idx="31">
                  <c:v>1.25</c:v>
                </c:pt>
                <c:pt idx="32">
                  <c:v>1.25</c:v>
                </c:pt>
                <c:pt idx="33">
                  <c:v>1.25</c:v>
                </c:pt>
                <c:pt idx="34">
                  <c:v>1.25</c:v>
                </c:pt>
                <c:pt idx="35">
                  <c:v>1.25</c:v>
                </c:pt>
                <c:pt idx="36">
                  <c:v>1.25</c:v>
                </c:pt>
                <c:pt idx="37">
                  <c:v>1.25</c:v>
                </c:pt>
                <c:pt idx="38">
                  <c:v>1.25</c:v>
                </c:pt>
                <c:pt idx="39">
                  <c:v>1.25</c:v>
                </c:pt>
                <c:pt idx="40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74-46B0-AA03-540C5F135C34}"/>
            </c:ext>
          </c:extLst>
        </c:ser>
        <c:ser>
          <c:idx val="3"/>
          <c:order val="3"/>
          <c:tx>
            <c:strRef>
              <c:f>'Business profitability model'!$E$166</c:f>
              <c:strCache>
                <c:ptCount val="1"/>
                <c:pt idx="0">
                  <c:v>Average innate ability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model'!$F$166:$AT$166</c:f>
              <c:numCache>
                <c:formatCode>General</c:formatCode>
                <c:ptCount val="41"/>
                <c:pt idx="0">
                  <c:v>0</c:v>
                </c:pt>
                <c:pt idx="1">
                  <c:v>6.6666666666666652E-2</c:v>
                </c:pt>
                <c:pt idx="2">
                  <c:v>0.1333333333333333</c:v>
                </c:pt>
                <c:pt idx="3">
                  <c:v>0.19999999999999996</c:v>
                </c:pt>
                <c:pt idx="4">
                  <c:v>0.26666666666666672</c:v>
                </c:pt>
                <c:pt idx="5">
                  <c:v>0.33333333333333337</c:v>
                </c:pt>
                <c:pt idx="6">
                  <c:v>0.4</c:v>
                </c:pt>
                <c:pt idx="7">
                  <c:v>0.46666666666666667</c:v>
                </c:pt>
                <c:pt idx="8">
                  <c:v>0.53333333333333333</c:v>
                </c:pt>
                <c:pt idx="9">
                  <c:v>0.6</c:v>
                </c:pt>
                <c:pt idx="10">
                  <c:v>0.66666666666666674</c:v>
                </c:pt>
                <c:pt idx="11">
                  <c:v>0.73333333333333339</c:v>
                </c:pt>
                <c:pt idx="12">
                  <c:v>0.8</c:v>
                </c:pt>
                <c:pt idx="13">
                  <c:v>0.8666666666666667</c:v>
                </c:pt>
                <c:pt idx="14">
                  <c:v>0.93333333333333335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874-46B0-AA03-540C5F135C34}"/>
            </c:ext>
          </c:extLst>
        </c:ser>
        <c:ser>
          <c:idx val="4"/>
          <c:order val="4"/>
          <c:tx>
            <c:strRef>
              <c:f>'Business profitability model'!$E$167</c:f>
              <c:strCache>
                <c:ptCount val="1"/>
                <c:pt idx="0">
                  <c:v>- 1sd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model'!$F$167:$AT$167</c:f>
              <c:numCache>
                <c:formatCode>General</c:formatCode>
                <c:ptCount val="41"/>
                <c:pt idx="0">
                  <c:v>-0.25</c:v>
                </c:pt>
                <c:pt idx="1">
                  <c:v>-0.18333333333333335</c:v>
                </c:pt>
                <c:pt idx="2">
                  <c:v>-0.1166666666666667</c:v>
                </c:pt>
                <c:pt idx="3">
                  <c:v>-5.0000000000000044E-2</c:v>
                </c:pt>
                <c:pt idx="4">
                  <c:v>1.6666666666666718E-2</c:v>
                </c:pt>
                <c:pt idx="5">
                  <c:v>8.333333333333337E-2</c:v>
                </c:pt>
                <c:pt idx="6">
                  <c:v>0.15000000000000002</c:v>
                </c:pt>
                <c:pt idx="7">
                  <c:v>0.21666666666666667</c:v>
                </c:pt>
                <c:pt idx="8">
                  <c:v>0.28333333333333333</c:v>
                </c:pt>
                <c:pt idx="9">
                  <c:v>0.35</c:v>
                </c:pt>
                <c:pt idx="10">
                  <c:v>0.41666666666666674</c:v>
                </c:pt>
                <c:pt idx="11">
                  <c:v>0.48333333333333339</c:v>
                </c:pt>
                <c:pt idx="12">
                  <c:v>0.55000000000000004</c:v>
                </c:pt>
                <c:pt idx="13">
                  <c:v>0.6166666666666667</c:v>
                </c:pt>
                <c:pt idx="14">
                  <c:v>0.68333333333333335</c:v>
                </c:pt>
                <c:pt idx="15">
                  <c:v>0.75</c:v>
                </c:pt>
                <c:pt idx="16">
                  <c:v>0.75</c:v>
                </c:pt>
                <c:pt idx="17">
                  <c:v>0.75</c:v>
                </c:pt>
                <c:pt idx="18">
                  <c:v>0.75</c:v>
                </c:pt>
                <c:pt idx="19">
                  <c:v>0.75</c:v>
                </c:pt>
                <c:pt idx="20">
                  <c:v>0.75</c:v>
                </c:pt>
                <c:pt idx="21">
                  <c:v>0.75</c:v>
                </c:pt>
                <c:pt idx="22">
                  <c:v>0.75</c:v>
                </c:pt>
                <c:pt idx="23">
                  <c:v>0.75</c:v>
                </c:pt>
                <c:pt idx="24">
                  <c:v>0.75</c:v>
                </c:pt>
                <c:pt idx="25">
                  <c:v>0.75</c:v>
                </c:pt>
                <c:pt idx="26">
                  <c:v>0.75</c:v>
                </c:pt>
                <c:pt idx="27">
                  <c:v>0.75</c:v>
                </c:pt>
                <c:pt idx="28">
                  <c:v>0.75</c:v>
                </c:pt>
                <c:pt idx="29">
                  <c:v>0.75</c:v>
                </c:pt>
                <c:pt idx="30">
                  <c:v>0.75</c:v>
                </c:pt>
                <c:pt idx="31">
                  <c:v>0.75</c:v>
                </c:pt>
                <c:pt idx="32">
                  <c:v>0.75</c:v>
                </c:pt>
                <c:pt idx="33">
                  <c:v>0.75</c:v>
                </c:pt>
                <c:pt idx="34">
                  <c:v>0.75</c:v>
                </c:pt>
                <c:pt idx="35">
                  <c:v>0.75</c:v>
                </c:pt>
                <c:pt idx="36">
                  <c:v>0.75</c:v>
                </c:pt>
                <c:pt idx="37">
                  <c:v>0.75</c:v>
                </c:pt>
                <c:pt idx="38">
                  <c:v>0.75</c:v>
                </c:pt>
                <c:pt idx="39">
                  <c:v>0.75</c:v>
                </c:pt>
                <c:pt idx="40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874-46B0-AA03-540C5F135C34}"/>
            </c:ext>
          </c:extLst>
        </c:ser>
        <c:ser>
          <c:idx val="5"/>
          <c:order val="5"/>
          <c:tx>
            <c:strRef>
              <c:f>'Business profitability model'!$E$168</c:f>
              <c:strCache>
                <c:ptCount val="1"/>
                <c:pt idx="0">
                  <c:v>- 2sd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model'!$F$168:$AT$168</c:f>
              <c:numCache>
                <c:formatCode>General</c:formatCode>
                <c:ptCount val="41"/>
                <c:pt idx="0">
                  <c:v>-0.5</c:v>
                </c:pt>
                <c:pt idx="1">
                  <c:v>-0.43333333333333335</c:v>
                </c:pt>
                <c:pt idx="2">
                  <c:v>-0.3666666666666667</c:v>
                </c:pt>
                <c:pt idx="3">
                  <c:v>-0.30000000000000004</c:v>
                </c:pt>
                <c:pt idx="4">
                  <c:v>-0.23333333333333328</c:v>
                </c:pt>
                <c:pt idx="5">
                  <c:v>-0.16666666666666663</c:v>
                </c:pt>
                <c:pt idx="6">
                  <c:v>-9.9999999999999978E-2</c:v>
                </c:pt>
                <c:pt idx="7">
                  <c:v>-3.3333333333333326E-2</c:v>
                </c:pt>
                <c:pt idx="8">
                  <c:v>3.3333333333333326E-2</c:v>
                </c:pt>
                <c:pt idx="9">
                  <c:v>9.9999999999999978E-2</c:v>
                </c:pt>
                <c:pt idx="10">
                  <c:v>0.16666666666666674</c:v>
                </c:pt>
                <c:pt idx="11">
                  <c:v>0.23333333333333339</c:v>
                </c:pt>
                <c:pt idx="12">
                  <c:v>0.30000000000000004</c:v>
                </c:pt>
                <c:pt idx="13">
                  <c:v>0.3666666666666667</c:v>
                </c:pt>
                <c:pt idx="14">
                  <c:v>0.43333333333333335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  <c:pt idx="30">
                  <c:v>0.5</c:v>
                </c:pt>
                <c:pt idx="31">
                  <c:v>0.5</c:v>
                </c:pt>
                <c:pt idx="32">
                  <c:v>0.5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874-46B0-AA03-540C5F135C34}"/>
            </c:ext>
          </c:extLst>
        </c:ser>
        <c:ser>
          <c:idx val="6"/>
          <c:order val="6"/>
          <c:tx>
            <c:strRef>
              <c:f>'Business profitability model'!$E$169</c:f>
              <c:strCache>
                <c:ptCount val="1"/>
                <c:pt idx="0">
                  <c:v>- 3sd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model'!$F$169:$AT$169</c:f>
              <c:numCache>
                <c:formatCode>General</c:formatCode>
                <c:ptCount val="41"/>
                <c:pt idx="0">
                  <c:v>-0.75</c:v>
                </c:pt>
                <c:pt idx="1">
                  <c:v>-0.68333333333333335</c:v>
                </c:pt>
                <c:pt idx="2">
                  <c:v>-0.6166666666666667</c:v>
                </c:pt>
                <c:pt idx="3">
                  <c:v>-0.55000000000000004</c:v>
                </c:pt>
                <c:pt idx="4">
                  <c:v>-0.48333333333333328</c:v>
                </c:pt>
                <c:pt idx="5">
                  <c:v>-0.41666666666666663</c:v>
                </c:pt>
                <c:pt idx="6">
                  <c:v>-0.35</c:v>
                </c:pt>
                <c:pt idx="7">
                  <c:v>-0.28333333333333333</c:v>
                </c:pt>
                <c:pt idx="8">
                  <c:v>-0.21666666666666667</c:v>
                </c:pt>
                <c:pt idx="9">
                  <c:v>-0.15000000000000002</c:v>
                </c:pt>
                <c:pt idx="10">
                  <c:v>-8.3333333333333259E-2</c:v>
                </c:pt>
                <c:pt idx="11">
                  <c:v>-1.6666666666666607E-2</c:v>
                </c:pt>
                <c:pt idx="12">
                  <c:v>5.0000000000000044E-2</c:v>
                </c:pt>
                <c:pt idx="13">
                  <c:v>0.1166666666666667</c:v>
                </c:pt>
                <c:pt idx="14">
                  <c:v>0.18333333333333335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0.25</c:v>
                </c:pt>
                <c:pt idx="24">
                  <c:v>0.25</c:v>
                </c:pt>
                <c:pt idx="25">
                  <c:v>0.25</c:v>
                </c:pt>
                <c:pt idx="26">
                  <c:v>0.25</c:v>
                </c:pt>
                <c:pt idx="27">
                  <c:v>0.25</c:v>
                </c:pt>
                <c:pt idx="28">
                  <c:v>0.25</c:v>
                </c:pt>
                <c:pt idx="29">
                  <c:v>0.25</c:v>
                </c:pt>
                <c:pt idx="30">
                  <c:v>0.25</c:v>
                </c:pt>
                <c:pt idx="31">
                  <c:v>0.25</c:v>
                </c:pt>
                <c:pt idx="32">
                  <c:v>0.25</c:v>
                </c:pt>
                <c:pt idx="33">
                  <c:v>0.25</c:v>
                </c:pt>
                <c:pt idx="34">
                  <c:v>0.25</c:v>
                </c:pt>
                <c:pt idx="35">
                  <c:v>0.25</c:v>
                </c:pt>
                <c:pt idx="36">
                  <c:v>0.25</c:v>
                </c:pt>
                <c:pt idx="37">
                  <c:v>0.25</c:v>
                </c:pt>
                <c:pt idx="38">
                  <c:v>0.25</c:v>
                </c:pt>
                <c:pt idx="39">
                  <c:v>0.25</c:v>
                </c:pt>
                <c:pt idx="40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874-46B0-AA03-540C5F135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3119360"/>
        <c:axId val="253122240"/>
      </c:lineChart>
      <c:catAx>
        <c:axId val="253119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endParaRPr lang="en-US"/>
          </a:p>
        </c:txPr>
        <c:crossAx val="25312224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3122240"/>
        <c:scaling>
          <c:orientation val="minMax"/>
          <c:max val="2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endParaRPr lang="en-US"/>
          </a:p>
        </c:txPr>
        <c:crossAx val="253119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611273906541264"/>
          <c:y val="0.16707529740600607"/>
          <c:w val="0.24417068592411975"/>
          <c:h val="0.583828203292770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Light" panose="020F0302020204030204" pitchFamily="34" charset="0"/>
              <a:ea typeface="Calibri Light" panose="020F0302020204030204" pitchFamily="34" charset="0"/>
              <a:cs typeface="Calibri Light" panose="020F03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Light" panose="020F0302020204030204" pitchFamily="34" charset="0"/>
          <a:ea typeface="Calibri Light" panose="020F0302020204030204" pitchFamily="34" charset="0"/>
          <a:cs typeface="Calibri Light" panose="020F03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r>
              <a:rPr lang="en-US" b="1"/>
              <a:t>Impact</a:t>
            </a:r>
            <a:r>
              <a:rPr lang="en-US" b="1" baseline="0"/>
              <a:t> of training, experience and innate ability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Light" panose="020F0302020204030204" pitchFamily="34" charset="0"/>
              <a:ea typeface="Calibri Light" panose="020F0302020204030204" pitchFamily="34" charset="0"/>
              <a:cs typeface="Calibri Light" panose="020F030202020403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703971175200735"/>
          <c:y val="0.16782805429864253"/>
          <c:w val="0.57543662510609306"/>
          <c:h val="0.73661417322834644"/>
        </c:manualLayout>
      </c:layout>
      <c:lineChart>
        <c:grouping val="standard"/>
        <c:varyColors val="0"/>
        <c:ser>
          <c:idx val="1"/>
          <c:order val="0"/>
          <c:tx>
            <c:strRef>
              <c:f>'Business profitability model'!$E$188</c:f>
              <c:strCache>
                <c:ptCount val="1"/>
                <c:pt idx="0">
                  <c:v>+ 3sd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model'!$F$188:$AT$188</c:f>
              <c:numCache>
                <c:formatCode>General</c:formatCode>
                <c:ptCount val="41"/>
                <c:pt idx="0">
                  <c:v>0.75</c:v>
                </c:pt>
                <c:pt idx="1">
                  <c:v>0.83333333333333326</c:v>
                </c:pt>
                <c:pt idx="2">
                  <c:v>0.91666666666666663</c:v>
                </c:pt>
                <c:pt idx="3">
                  <c:v>1</c:v>
                </c:pt>
                <c:pt idx="4">
                  <c:v>1.0833333333333335</c:v>
                </c:pt>
                <c:pt idx="5">
                  <c:v>1.1666666666666667</c:v>
                </c:pt>
                <c:pt idx="6">
                  <c:v>1.25</c:v>
                </c:pt>
                <c:pt idx="7">
                  <c:v>1.3333333333333335</c:v>
                </c:pt>
                <c:pt idx="8">
                  <c:v>1.4166666666666665</c:v>
                </c:pt>
                <c:pt idx="9">
                  <c:v>1.5</c:v>
                </c:pt>
                <c:pt idx="10">
                  <c:v>1.5833333333333335</c:v>
                </c:pt>
                <c:pt idx="11">
                  <c:v>1.6666666666666667</c:v>
                </c:pt>
                <c:pt idx="12">
                  <c:v>1.75</c:v>
                </c:pt>
                <c:pt idx="13">
                  <c:v>1.8333333333333335</c:v>
                </c:pt>
                <c:pt idx="14">
                  <c:v>1.9166666666666667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0F-4944-9C82-21A9329F4CC3}"/>
            </c:ext>
          </c:extLst>
        </c:ser>
        <c:ser>
          <c:idx val="0"/>
          <c:order val="1"/>
          <c:tx>
            <c:strRef>
              <c:f>'Business profitability model'!$E$189</c:f>
              <c:strCache>
                <c:ptCount val="1"/>
                <c:pt idx="0">
                  <c:v>+ 2sd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model'!$F$189:$AT$189</c:f>
              <c:numCache>
                <c:formatCode>General</c:formatCode>
                <c:ptCount val="41"/>
                <c:pt idx="0">
                  <c:v>0.5</c:v>
                </c:pt>
                <c:pt idx="1">
                  <c:v>0.58333333333333326</c:v>
                </c:pt>
                <c:pt idx="2">
                  <c:v>0.66666666666666663</c:v>
                </c:pt>
                <c:pt idx="3">
                  <c:v>0.75</c:v>
                </c:pt>
                <c:pt idx="4">
                  <c:v>0.83333333333333337</c:v>
                </c:pt>
                <c:pt idx="5">
                  <c:v>0.91666666666666674</c:v>
                </c:pt>
                <c:pt idx="6">
                  <c:v>1</c:v>
                </c:pt>
                <c:pt idx="7">
                  <c:v>1.0833333333333335</c:v>
                </c:pt>
                <c:pt idx="8">
                  <c:v>1.1666666666666665</c:v>
                </c:pt>
                <c:pt idx="9">
                  <c:v>1.25</c:v>
                </c:pt>
                <c:pt idx="10">
                  <c:v>1.3333333333333335</c:v>
                </c:pt>
                <c:pt idx="11">
                  <c:v>1.4166666666666667</c:v>
                </c:pt>
                <c:pt idx="12">
                  <c:v>1.5</c:v>
                </c:pt>
                <c:pt idx="13">
                  <c:v>1.5833333333333335</c:v>
                </c:pt>
                <c:pt idx="14">
                  <c:v>1.6666666666666667</c:v>
                </c:pt>
                <c:pt idx="15">
                  <c:v>1.75</c:v>
                </c:pt>
                <c:pt idx="16">
                  <c:v>1.75</c:v>
                </c:pt>
                <c:pt idx="17">
                  <c:v>1.75</c:v>
                </c:pt>
                <c:pt idx="18">
                  <c:v>1.75</c:v>
                </c:pt>
                <c:pt idx="19">
                  <c:v>1.75</c:v>
                </c:pt>
                <c:pt idx="20">
                  <c:v>1.75</c:v>
                </c:pt>
                <c:pt idx="21">
                  <c:v>1.75</c:v>
                </c:pt>
                <c:pt idx="22">
                  <c:v>1.75</c:v>
                </c:pt>
                <c:pt idx="23">
                  <c:v>1.75</c:v>
                </c:pt>
                <c:pt idx="24">
                  <c:v>1.75</c:v>
                </c:pt>
                <c:pt idx="25">
                  <c:v>1.75</c:v>
                </c:pt>
                <c:pt idx="26">
                  <c:v>1.75</c:v>
                </c:pt>
                <c:pt idx="27">
                  <c:v>1.75</c:v>
                </c:pt>
                <c:pt idx="28">
                  <c:v>1.75</c:v>
                </c:pt>
                <c:pt idx="29">
                  <c:v>1.75</c:v>
                </c:pt>
                <c:pt idx="30">
                  <c:v>1.75</c:v>
                </c:pt>
                <c:pt idx="31">
                  <c:v>1.75</c:v>
                </c:pt>
                <c:pt idx="32">
                  <c:v>1.75</c:v>
                </c:pt>
                <c:pt idx="33">
                  <c:v>1.75</c:v>
                </c:pt>
                <c:pt idx="34">
                  <c:v>1.75</c:v>
                </c:pt>
                <c:pt idx="35">
                  <c:v>1.75</c:v>
                </c:pt>
                <c:pt idx="36">
                  <c:v>1.75</c:v>
                </c:pt>
                <c:pt idx="37">
                  <c:v>1.75</c:v>
                </c:pt>
                <c:pt idx="38">
                  <c:v>1.75</c:v>
                </c:pt>
                <c:pt idx="39">
                  <c:v>1.75</c:v>
                </c:pt>
                <c:pt idx="40">
                  <c:v>1.75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4-46B0-AA03-540C5F135C34}"/>
            </c:ext>
          </c:extLst>
        </c:ser>
        <c:ser>
          <c:idx val="2"/>
          <c:order val="2"/>
          <c:tx>
            <c:strRef>
              <c:f>'Business profitability model'!$E$190</c:f>
              <c:strCache>
                <c:ptCount val="1"/>
                <c:pt idx="0">
                  <c:v>+ 1sd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model'!$F$190:$AT$190</c:f>
              <c:numCache>
                <c:formatCode>General</c:formatCode>
                <c:ptCount val="41"/>
                <c:pt idx="0">
                  <c:v>0.25</c:v>
                </c:pt>
                <c:pt idx="1">
                  <c:v>0.33333333333333331</c:v>
                </c:pt>
                <c:pt idx="2">
                  <c:v>0.41666666666666663</c:v>
                </c:pt>
                <c:pt idx="3">
                  <c:v>0.49999999999999994</c:v>
                </c:pt>
                <c:pt idx="4">
                  <c:v>0.58333333333333337</c:v>
                </c:pt>
                <c:pt idx="5">
                  <c:v>0.66666666666666674</c:v>
                </c:pt>
                <c:pt idx="6">
                  <c:v>0.75</c:v>
                </c:pt>
                <c:pt idx="7">
                  <c:v>0.83333333333333337</c:v>
                </c:pt>
                <c:pt idx="8">
                  <c:v>0.91666666666666663</c:v>
                </c:pt>
                <c:pt idx="9">
                  <c:v>1</c:v>
                </c:pt>
                <c:pt idx="10">
                  <c:v>1.0833333333333335</c:v>
                </c:pt>
                <c:pt idx="11">
                  <c:v>1.1666666666666667</c:v>
                </c:pt>
                <c:pt idx="12">
                  <c:v>1.25</c:v>
                </c:pt>
                <c:pt idx="13">
                  <c:v>1.3333333333333335</c:v>
                </c:pt>
                <c:pt idx="14">
                  <c:v>1.4166666666666667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74-46B0-AA03-540C5F135C34}"/>
            </c:ext>
          </c:extLst>
        </c:ser>
        <c:ser>
          <c:idx val="3"/>
          <c:order val="3"/>
          <c:tx>
            <c:strRef>
              <c:f>'Business profitability model'!$E$191</c:f>
              <c:strCache>
                <c:ptCount val="1"/>
                <c:pt idx="0">
                  <c:v>With reference training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model'!$F$191:$AT$191</c:f>
              <c:numCache>
                <c:formatCode>General</c:formatCode>
                <c:ptCount val="41"/>
                <c:pt idx="0">
                  <c:v>0</c:v>
                </c:pt>
                <c:pt idx="1">
                  <c:v>8.3333333333333315E-2</c:v>
                </c:pt>
                <c:pt idx="2">
                  <c:v>0.16666666666666663</c:v>
                </c:pt>
                <c:pt idx="3">
                  <c:v>0.24999999999999994</c:v>
                </c:pt>
                <c:pt idx="4">
                  <c:v>0.33333333333333337</c:v>
                </c:pt>
                <c:pt idx="5">
                  <c:v>0.41666666666666674</c:v>
                </c:pt>
                <c:pt idx="6">
                  <c:v>0.5</c:v>
                </c:pt>
                <c:pt idx="7">
                  <c:v>0.58333333333333337</c:v>
                </c:pt>
                <c:pt idx="8">
                  <c:v>0.66666666666666663</c:v>
                </c:pt>
                <c:pt idx="9">
                  <c:v>0.75</c:v>
                </c:pt>
                <c:pt idx="10">
                  <c:v>0.83333333333333348</c:v>
                </c:pt>
                <c:pt idx="11">
                  <c:v>0.91666666666666674</c:v>
                </c:pt>
                <c:pt idx="12">
                  <c:v>1</c:v>
                </c:pt>
                <c:pt idx="13">
                  <c:v>1.0833333333333335</c:v>
                </c:pt>
                <c:pt idx="14">
                  <c:v>1.1666666666666667</c:v>
                </c:pt>
                <c:pt idx="15">
                  <c:v>1.25</c:v>
                </c:pt>
                <c:pt idx="16">
                  <c:v>1.25</c:v>
                </c:pt>
                <c:pt idx="17">
                  <c:v>1.25</c:v>
                </c:pt>
                <c:pt idx="18">
                  <c:v>1.25</c:v>
                </c:pt>
                <c:pt idx="19">
                  <c:v>1.25</c:v>
                </c:pt>
                <c:pt idx="20">
                  <c:v>1.25</c:v>
                </c:pt>
                <c:pt idx="21">
                  <c:v>1.25</c:v>
                </c:pt>
                <c:pt idx="22">
                  <c:v>1.25</c:v>
                </c:pt>
                <c:pt idx="23">
                  <c:v>1.25</c:v>
                </c:pt>
                <c:pt idx="24">
                  <c:v>1.25</c:v>
                </c:pt>
                <c:pt idx="25">
                  <c:v>1.25</c:v>
                </c:pt>
                <c:pt idx="26">
                  <c:v>1.25</c:v>
                </c:pt>
                <c:pt idx="27">
                  <c:v>1.25</c:v>
                </c:pt>
                <c:pt idx="28">
                  <c:v>1.25</c:v>
                </c:pt>
                <c:pt idx="29">
                  <c:v>1.25</c:v>
                </c:pt>
                <c:pt idx="30">
                  <c:v>1.25</c:v>
                </c:pt>
                <c:pt idx="31">
                  <c:v>1.25</c:v>
                </c:pt>
                <c:pt idx="32">
                  <c:v>1.25</c:v>
                </c:pt>
                <c:pt idx="33">
                  <c:v>1.25</c:v>
                </c:pt>
                <c:pt idx="34">
                  <c:v>1.25</c:v>
                </c:pt>
                <c:pt idx="35">
                  <c:v>1.25</c:v>
                </c:pt>
                <c:pt idx="36">
                  <c:v>1.25</c:v>
                </c:pt>
                <c:pt idx="37">
                  <c:v>1.25</c:v>
                </c:pt>
                <c:pt idx="38">
                  <c:v>1.25</c:v>
                </c:pt>
                <c:pt idx="39">
                  <c:v>1.25</c:v>
                </c:pt>
                <c:pt idx="40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874-46B0-AA03-540C5F135C34}"/>
            </c:ext>
          </c:extLst>
        </c:ser>
        <c:ser>
          <c:idx val="4"/>
          <c:order val="4"/>
          <c:tx>
            <c:strRef>
              <c:f>'Business profitability model'!$E$192</c:f>
              <c:strCache>
                <c:ptCount val="1"/>
                <c:pt idx="0">
                  <c:v>Average innate ability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model'!$F$192:$AT$192</c:f>
              <c:numCache>
                <c:formatCode>General</c:formatCode>
                <c:ptCount val="41"/>
                <c:pt idx="0">
                  <c:v>0</c:v>
                </c:pt>
                <c:pt idx="1">
                  <c:v>6.6666666666666652E-2</c:v>
                </c:pt>
                <c:pt idx="2">
                  <c:v>0.1333333333333333</c:v>
                </c:pt>
                <c:pt idx="3">
                  <c:v>0.19999999999999996</c:v>
                </c:pt>
                <c:pt idx="4">
                  <c:v>0.26666666666666672</c:v>
                </c:pt>
                <c:pt idx="5">
                  <c:v>0.33333333333333337</c:v>
                </c:pt>
                <c:pt idx="6">
                  <c:v>0.4</c:v>
                </c:pt>
                <c:pt idx="7">
                  <c:v>0.46666666666666667</c:v>
                </c:pt>
                <c:pt idx="8">
                  <c:v>0.53333333333333333</c:v>
                </c:pt>
                <c:pt idx="9">
                  <c:v>0.6</c:v>
                </c:pt>
                <c:pt idx="10">
                  <c:v>0.66666666666666674</c:v>
                </c:pt>
                <c:pt idx="11">
                  <c:v>0.73333333333333339</c:v>
                </c:pt>
                <c:pt idx="12">
                  <c:v>0.8</c:v>
                </c:pt>
                <c:pt idx="13">
                  <c:v>0.8666666666666667</c:v>
                </c:pt>
                <c:pt idx="14">
                  <c:v>0.93333333333333335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874-46B0-AA03-540C5F135C34}"/>
            </c:ext>
          </c:extLst>
        </c:ser>
        <c:ser>
          <c:idx val="5"/>
          <c:order val="5"/>
          <c:tx>
            <c:strRef>
              <c:f>'Business profitability model'!$E$193</c:f>
              <c:strCache>
                <c:ptCount val="1"/>
                <c:pt idx="0">
                  <c:v>- 1sd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model'!$F$193:$AT$193</c:f>
              <c:numCache>
                <c:formatCode>General</c:formatCode>
                <c:ptCount val="41"/>
                <c:pt idx="0">
                  <c:v>-0.25</c:v>
                </c:pt>
                <c:pt idx="1">
                  <c:v>-0.16666666666666669</c:v>
                </c:pt>
                <c:pt idx="2">
                  <c:v>-8.333333333333337E-2</c:v>
                </c:pt>
                <c:pt idx="3">
                  <c:v>0</c:v>
                </c:pt>
                <c:pt idx="4">
                  <c:v>8.333333333333337E-2</c:v>
                </c:pt>
                <c:pt idx="5">
                  <c:v>0.16666666666666674</c:v>
                </c:pt>
                <c:pt idx="6">
                  <c:v>0.25</c:v>
                </c:pt>
                <c:pt idx="7">
                  <c:v>0.33333333333333337</c:v>
                </c:pt>
                <c:pt idx="8">
                  <c:v>0.41666666666666663</c:v>
                </c:pt>
                <c:pt idx="9">
                  <c:v>0.5</c:v>
                </c:pt>
                <c:pt idx="10">
                  <c:v>0.58333333333333348</c:v>
                </c:pt>
                <c:pt idx="11">
                  <c:v>0.66666666666666674</c:v>
                </c:pt>
                <c:pt idx="12">
                  <c:v>0.75</c:v>
                </c:pt>
                <c:pt idx="13">
                  <c:v>0.83333333333333348</c:v>
                </c:pt>
                <c:pt idx="14">
                  <c:v>0.91666666666666674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874-46B0-AA03-540C5F135C34}"/>
            </c:ext>
          </c:extLst>
        </c:ser>
        <c:ser>
          <c:idx val="6"/>
          <c:order val="6"/>
          <c:tx>
            <c:strRef>
              <c:f>'Business profitability model'!$E$194</c:f>
              <c:strCache>
                <c:ptCount val="1"/>
                <c:pt idx="0">
                  <c:v>- 2sd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model'!$F$194:$AT$194</c:f>
              <c:numCache>
                <c:formatCode>General</c:formatCode>
                <c:ptCount val="41"/>
                <c:pt idx="0">
                  <c:v>-0.5</c:v>
                </c:pt>
                <c:pt idx="1">
                  <c:v>-0.41666666666666669</c:v>
                </c:pt>
                <c:pt idx="2">
                  <c:v>-0.33333333333333337</c:v>
                </c:pt>
                <c:pt idx="3">
                  <c:v>-0.25000000000000006</c:v>
                </c:pt>
                <c:pt idx="4">
                  <c:v>-0.16666666666666663</c:v>
                </c:pt>
                <c:pt idx="5">
                  <c:v>-8.3333333333333259E-2</c:v>
                </c:pt>
                <c:pt idx="6">
                  <c:v>0</c:v>
                </c:pt>
                <c:pt idx="7">
                  <c:v>8.333333333333337E-2</c:v>
                </c:pt>
                <c:pt idx="8">
                  <c:v>0.16666666666666663</c:v>
                </c:pt>
                <c:pt idx="9">
                  <c:v>0.25</c:v>
                </c:pt>
                <c:pt idx="10">
                  <c:v>0.33333333333333348</c:v>
                </c:pt>
                <c:pt idx="11">
                  <c:v>0.41666666666666674</c:v>
                </c:pt>
                <c:pt idx="12">
                  <c:v>0.5</c:v>
                </c:pt>
                <c:pt idx="13">
                  <c:v>0.58333333333333348</c:v>
                </c:pt>
                <c:pt idx="14">
                  <c:v>0.66666666666666674</c:v>
                </c:pt>
                <c:pt idx="15">
                  <c:v>0.75</c:v>
                </c:pt>
                <c:pt idx="16">
                  <c:v>0.75</c:v>
                </c:pt>
                <c:pt idx="17">
                  <c:v>0.75</c:v>
                </c:pt>
                <c:pt idx="18">
                  <c:v>0.75</c:v>
                </c:pt>
                <c:pt idx="19">
                  <c:v>0.75</c:v>
                </c:pt>
                <c:pt idx="20">
                  <c:v>0.75</c:v>
                </c:pt>
                <c:pt idx="21">
                  <c:v>0.75</c:v>
                </c:pt>
                <c:pt idx="22">
                  <c:v>0.75</c:v>
                </c:pt>
                <c:pt idx="23">
                  <c:v>0.75</c:v>
                </c:pt>
                <c:pt idx="24">
                  <c:v>0.75</c:v>
                </c:pt>
                <c:pt idx="25">
                  <c:v>0.75</c:v>
                </c:pt>
                <c:pt idx="26">
                  <c:v>0.75</c:v>
                </c:pt>
                <c:pt idx="27">
                  <c:v>0.75</c:v>
                </c:pt>
                <c:pt idx="28">
                  <c:v>0.75</c:v>
                </c:pt>
                <c:pt idx="29">
                  <c:v>0.75</c:v>
                </c:pt>
                <c:pt idx="30">
                  <c:v>0.75</c:v>
                </c:pt>
                <c:pt idx="31">
                  <c:v>0.75</c:v>
                </c:pt>
                <c:pt idx="32">
                  <c:v>0.75</c:v>
                </c:pt>
                <c:pt idx="33">
                  <c:v>0.75</c:v>
                </c:pt>
                <c:pt idx="34">
                  <c:v>0.75</c:v>
                </c:pt>
                <c:pt idx="35">
                  <c:v>0.75</c:v>
                </c:pt>
                <c:pt idx="36">
                  <c:v>0.75</c:v>
                </c:pt>
                <c:pt idx="37">
                  <c:v>0.75</c:v>
                </c:pt>
                <c:pt idx="38">
                  <c:v>0.75</c:v>
                </c:pt>
                <c:pt idx="39">
                  <c:v>0.75</c:v>
                </c:pt>
                <c:pt idx="40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874-46B0-AA03-540C5F135C34}"/>
            </c:ext>
          </c:extLst>
        </c:ser>
        <c:ser>
          <c:idx val="7"/>
          <c:order val="7"/>
          <c:tx>
            <c:strRef>
              <c:f>'Business profitability model'!$E$195</c:f>
              <c:strCache>
                <c:ptCount val="1"/>
                <c:pt idx="0">
                  <c:v>- 3sd innate ability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'Business profitability model'!$F$133:$AT$133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cat>
          <c:val>
            <c:numRef>
              <c:f>'Business profitability model'!$F$195:$AT$195</c:f>
              <c:numCache>
                <c:formatCode>General</c:formatCode>
                <c:ptCount val="41"/>
                <c:pt idx="0">
                  <c:v>-0.75</c:v>
                </c:pt>
                <c:pt idx="1">
                  <c:v>-0.66666666666666674</c:v>
                </c:pt>
                <c:pt idx="2">
                  <c:v>-0.58333333333333337</c:v>
                </c:pt>
                <c:pt idx="3">
                  <c:v>-0.5</c:v>
                </c:pt>
                <c:pt idx="4">
                  <c:v>-0.41666666666666663</c:v>
                </c:pt>
                <c:pt idx="5">
                  <c:v>-0.33333333333333326</c:v>
                </c:pt>
                <c:pt idx="6">
                  <c:v>-0.25</c:v>
                </c:pt>
                <c:pt idx="7">
                  <c:v>-0.16666666666666663</c:v>
                </c:pt>
                <c:pt idx="8">
                  <c:v>-8.333333333333337E-2</c:v>
                </c:pt>
                <c:pt idx="9">
                  <c:v>0</c:v>
                </c:pt>
                <c:pt idx="10">
                  <c:v>8.3333333333333481E-2</c:v>
                </c:pt>
                <c:pt idx="11">
                  <c:v>0.16666666666666674</c:v>
                </c:pt>
                <c:pt idx="12">
                  <c:v>0.25</c:v>
                </c:pt>
                <c:pt idx="13">
                  <c:v>0.33333333333333348</c:v>
                </c:pt>
                <c:pt idx="14">
                  <c:v>0.41666666666666674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  <c:pt idx="30">
                  <c:v>0.5</c:v>
                </c:pt>
                <c:pt idx="31">
                  <c:v>0.5</c:v>
                </c:pt>
                <c:pt idx="32">
                  <c:v>0.5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C9-4C5C-9456-2F86D2F48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3119360"/>
        <c:axId val="253122240"/>
      </c:lineChart>
      <c:catAx>
        <c:axId val="253119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endParaRPr lang="en-US"/>
          </a:p>
        </c:txPr>
        <c:crossAx val="25312224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3122240"/>
        <c:scaling>
          <c:orientation val="minMax"/>
          <c:max val="2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endParaRPr lang="en-US"/>
          </a:p>
        </c:txPr>
        <c:crossAx val="253119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611273906541264"/>
          <c:y val="0.16707529740600607"/>
          <c:w val="0.25891840783681569"/>
          <c:h val="0.469686061969526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Light" panose="020F0302020204030204" pitchFamily="34" charset="0"/>
              <a:ea typeface="Calibri Light" panose="020F0302020204030204" pitchFamily="34" charset="0"/>
              <a:cs typeface="Calibri Light" panose="020F03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Light" panose="020F0302020204030204" pitchFamily="34" charset="0"/>
          <a:ea typeface="Calibri Light" panose="020F0302020204030204" pitchFamily="34" charset="0"/>
          <a:cs typeface="Calibri Light" panose="020F03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r>
              <a:rPr lang="en-US" b="1"/>
              <a:t>M(duration)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Light" panose="020F0302020204030204" pitchFamily="34" charset="0"/>
              <a:ea typeface="Calibri Light" panose="020F0302020204030204" pitchFamily="34" charset="0"/>
              <a:cs typeface="Calibri Light" panose="020F030202020403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703971175200735"/>
          <c:y val="0.16782805429864253"/>
          <c:w val="0.8080922102296112"/>
          <c:h val="0.73661417322834644"/>
        </c:manualLayout>
      </c:layout>
      <c:lineChart>
        <c:grouping val="standard"/>
        <c:varyColors val="0"/>
        <c:ser>
          <c:idx val="1"/>
          <c:order val="0"/>
          <c:tx>
            <c:strRef>
              <c:f>'Business profitability model'!$E$218</c:f>
              <c:strCache>
                <c:ptCount val="1"/>
                <c:pt idx="0">
                  <c:v>M(duration)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'Business profitability model'!$F$217:$AT$217</c:f>
              <c:numCache>
                <c:formatCode>General</c:formatCode>
                <c:ptCount val="41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400</c:v>
                </c:pt>
                <c:pt idx="9">
                  <c:v>450</c:v>
                </c:pt>
                <c:pt idx="10">
                  <c:v>500</c:v>
                </c:pt>
                <c:pt idx="11">
                  <c:v>550</c:v>
                </c:pt>
                <c:pt idx="12">
                  <c:v>600</c:v>
                </c:pt>
                <c:pt idx="13">
                  <c:v>650</c:v>
                </c:pt>
                <c:pt idx="14">
                  <c:v>700</c:v>
                </c:pt>
                <c:pt idx="15">
                  <c:v>750</c:v>
                </c:pt>
                <c:pt idx="16">
                  <c:v>800</c:v>
                </c:pt>
                <c:pt idx="17">
                  <c:v>850</c:v>
                </c:pt>
                <c:pt idx="18">
                  <c:v>900</c:v>
                </c:pt>
                <c:pt idx="19">
                  <c:v>950</c:v>
                </c:pt>
                <c:pt idx="20">
                  <c:v>1000</c:v>
                </c:pt>
                <c:pt idx="21">
                  <c:v>1050</c:v>
                </c:pt>
                <c:pt idx="22">
                  <c:v>1100</c:v>
                </c:pt>
                <c:pt idx="23">
                  <c:v>1150</c:v>
                </c:pt>
                <c:pt idx="24">
                  <c:v>1200</c:v>
                </c:pt>
                <c:pt idx="25">
                  <c:v>1250</c:v>
                </c:pt>
                <c:pt idx="26">
                  <c:v>1300</c:v>
                </c:pt>
                <c:pt idx="27">
                  <c:v>1350</c:v>
                </c:pt>
                <c:pt idx="28">
                  <c:v>1400</c:v>
                </c:pt>
                <c:pt idx="29">
                  <c:v>1450</c:v>
                </c:pt>
                <c:pt idx="30">
                  <c:v>1500</c:v>
                </c:pt>
                <c:pt idx="31">
                  <c:v>1550</c:v>
                </c:pt>
                <c:pt idx="32">
                  <c:v>1600</c:v>
                </c:pt>
                <c:pt idx="33">
                  <c:v>1650</c:v>
                </c:pt>
                <c:pt idx="34">
                  <c:v>1700</c:v>
                </c:pt>
                <c:pt idx="35">
                  <c:v>1750</c:v>
                </c:pt>
                <c:pt idx="36">
                  <c:v>1800</c:v>
                </c:pt>
                <c:pt idx="37">
                  <c:v>1850</c:v>
                </c:pt>
                <c:pt idx="38">
                  <c:v>1900</c:v>
                </c:pt>
                <c:pt idx="39">
                  <c:v>1950</c:v>
                </c:pt>
                <c:pt idx="40">
                  <c:v>2000</c:v>
                </c:pt>
              </c:numCache>
            </c:numRef>
          </c:cat>
          <c:val>
            <c:numRef>
              <c:f>'Business profitability model'!$F$218:$AT$218</c:f>
              <c:numCache>
                <c:formatCode>_(* #,##0.00_);_(* \(#,##0.00\);_(* "-"??_);_(@_)</c:formatCode>
                <c:ptCount val="41"/>
                <c:pt idx="0">
                  <c:v>0</c:v>
                </c:pt>
                <c:pt idx="1">
                  <c:v>0.1485502048305003</c:v>
                </c:pt>
                <c:pt idx="2">
                  <c:v>0.22516000642010225</c:v>
                </c:pt>
                <c:pt idx="3">
                  <c:v>0.28717458874925877</c:v>
                </c:pt>
                <c:pt idx="4">
                  <c:v>0.34127875184653661</c:v>
                </c:pt>
                <c:pt idx="5">
                  <c:v>0.39017124333718384</c:v>
                </c:pt>
                <c:pt idx="6">
                  <c:v>0.43527528164806206</c:v>
                </c:pt>
                <c:pt idx="7">
                  <c:v>0.47745459682017838</c:v>
                </c:pt>
                <c:pt idx="8">
                  <c:v>0.51728185797178661</c:v>
                </c:pt>
                <c:pt idx="9">
                  <c:v>0.55516075873073001</c:v>
                </c:pt>
                <c:pt idx="10">
                  <c:v>0.59138901730212934</c:v>
                </c:pt>
                <c:pt idx="11">
                  <c:v>0.62619394815697016</c:v>
                </c:pt>
                <c:pt idx="12">
                  <c:v>0.6597539553864471</c:v>
                </c:pt>
                <c:pt idx="13">
                  <c:v>0.69221222716274122</c:v>
                </c:pt>
                <c:pt idx="14">
                  <c:v>0.72368584215688725</c:v>
                </c:pt>
                <c:pt idx="15">
                  <c:v>0.75427204206814535</c:v>
                </c:pt>
                <c:pt idx="16">
                  <c:v>0.7840526816831157</c:v>
                </c:pt>
                <c:pt idx="17">
                  <c:v>0.81309746637890568</c:v>
                </c:pt>
                <c:pt idx="18">
                  <c:v>0.84146635908464962</c:v>
                </c:pt>
                <c:pt idx="19">
                  <c:v>0.86921140388403062</c:v>
                </c:pt>
                <c:pt idx="20">
                  <c:v>0.89637813077714179</c:v>
                </c:pt>
                <c:pt idx="21">
                  <c:v>0.92300665384290281</c:v>
                </c:pt>
                <c:pt idx="22">
                  <c:v>0.94913254107007305</c:v>
                </c:pt>
                <c:pt idx="23">
                  <c:v>0.97478751150759502</c:v>
                </c:pt>
                <c:pt idx="24">
                  <c:v>1</c:v>
                </c:pt>
                <c:pt idx="25">
                  <c:v>1.0247956191039014</c:v>
                </c:pt>
                <c:pt idx="26">
                  <c:v>1.0491975402516258</c:v>
                </c:pt>
                <c:pt idx="27">
                  <c:v>1.0732268108289416</c:v>
                </c:pt>
                <c:pt idx="28">
                  <c:v>1.0969026199062231</c:v>
                </c:pt>
                <c:pt idx="29">
                  <c:v>1.1202425224671124</c:v>
                </c:pt>
                <c:pt idx="30">
                  <c:v>1.1432626298183159</c:v>
                </c:pt>
                <c:pt idx="31">
                  <c:v>1.1659777722338567</c:v>
                </c:pt>
                <c:pt idx="32">
                  <c:v>1.1884016386440022</c:v>
                </c:pt>
                <c:pt idx="33">
                  <c:v>1.2105468972219857</c:v>
                </c:pt>
                <c:pt idx="34">
                  <c:v>1.2324252999781389</c:v>
                </c:pt>
                <c:pt idx="35">
                  <c:v>1.2540477738885889</c:v>
                </c:pt>
                <c:pt idx="36">
                  <c:v>1.2754245006257907</c:v>
                </c:pt>
                <c:pt idx="37">
                  <c:v>1.296564986592367</c:v>
                </c:pt>
                <c:pt idx="38">
                  <c:v>1.3174781246667857</c:v>
                </c:pt>
                <c:pt idx="39">
                  <c:v>1.3381722488332379</c:v>
                </c:pt>
                <c:pt idx="40">
                  <c:v>1.3586551826765381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0F-4944-9C82-21A9329F4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3119360"/>
        <c:axId val="253122240"/>
      </c:lineChart>
      <c:catAx>
        <c:axId val="2531193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alibri Light" panose="020F0302020204030204" pitchFamily="34" charset="0"/>
                    <a:ea typeface="Calibri Light" panose="020F0302020204030204" pitchFamily="34" charset="0"/>
                    <a:cs typeface="Calibri Light" panose="020F0302020204030204" pitchFamily="34" charset="0"/>
                  </a:defRPr>
                </a:pPr>
                <a:r>
                  <a:rPr lang="en-NZ"/>
                  <a:t>Programme</a:t>
                </a:r>
                <a:r>
                  <a:rPr lang="en-NZ" baseline="0"/>
                  <a:t> duration (hours)</a:t>
                </a:r>
                <a:endParaRPr lang="en-NZ"/>
              </a:p>
            </c:rich>
          </c:tx>
          <c:layout>
            <c:manualLayout>
              <c:xMode val="edge"/>
              <c:yMode val="edge"/>
              <c:x val="0.39160828412857629"/>
              <c:y val="0.925221256433854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alibri Light" panose="020F0302020204030204" pitchFamily="34" charset="0"/>
                  <a:ea typeface="Calibri Light" panose="020F0302020204030204" pitchFamily="34" charset="0"/>
                  <a:cs typeface="Calibri Light" panose="020F0302020204030204" pitchFamily="34" charset="0"/>
                </a:defRPr>
              </a:pPr>
              <a:endParaRPr lang="en-NZ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endParaRPr lang="en-US"/>
          </a:p>
        </c:txPr>
        <c:crossAx val="25312224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3122240"/>
        <c:scaling>
          <c:orientation val="minMax"/>
          <c:max val="2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" panose="020F0302020204030204" pitchFamily="34" charset="0"/>
                <a:ea typeface="Calibri Light" panose="020F0302020204030204" pitchFamily="34" charset="0"/>
                <a:cs typeface="Calibri Light" panose="020F0302020204030204" pitchFamily="34" charset="0"/>
              </a:defRPr>
            </a:pPr>
            <a:endParaRPr lang="en-US"/>
          </a:p>
        </c:txPr>
        <c:crossAx val="253119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Light" panose="020F0302020204030204" pitchFamily="34" charset="0"/>
          <a:ea typeface="Calibri Light" panose="020F0302020204030204" pitchFamily="34" charset="0"/>
          <a:cs typeface="Calibri Light" panose="020F03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/>
              <a:t>Retention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'Business profitability model'!$A$408:$A$469</c:f>
              <c:numCache>
                <c:formatCode>_(* #,##0.00_);_(* \(#,##0.00\);_(* "-"??_);_(@_)</c:formatCode>
                <c:ptCount val="62"/>
                <c:pt idx="0" formatCode="General">
                  <c:v>0</c:v>
                </c:pt>
                <c:pt idx="1">
                  <c:v>8.3333333333333329E-2</c:v>
                </c:pt>
                <c:pt idx="2">
                  <c:v>0.16666666666666666</c:v>
                </c:pt>
                <c:pt idx="3">
                  <c:v>0.25</c:v>
                </c:pt>
                <c:pt idx="4">
                  <c:v>0.33333333333333331</c:v>
                </c:pt>
                <c:pt idx="5">
                  <c:v>0.41666666666666663</c:v>
                </c:pt>
                <c:pt idx="6">
                  <c:v>0.49999999999999994</c:v>
                </c:pt>
                <c:pt idx="7">
                  <c:v>0.58333333333333326</c:v>
                </c:pt>
                <c:pt idx="8">
                  <c:v>0.66666666666666663</c:v>
                </c:pt>
                <c:pt idx="9">
                  <c:v>0.75</c:v>
                </c:pt>
                <c:pt idx="10">
                  <c:v>0.83333333333333337</c:v>
                </c:pt>
                <c:pt idx="11">
                  <c:v>0.91666666666666674</c:v>
                </c:pt>
                <c:pt idx="12" formatCode="General">
                  <c:v>1</c:v>
                </c:pt>
                <c:pt idx="13" formatCode="General">
                  <c:v>2</c:v>
                </c:pt>
                <c:pt idx="14" formatCode="General">
                  <c:v>3</c:v>
                </c:pt>
                <c:pt idx="15" formatCode="General">
                  <c:v>4</c:v>
                </c:pt>
                <c:pt idx="16" formatCode="General">
                  <c:v>5</c:v>
                </c:pt>
                <c:pt idx="17" formatCode="General">
                  <c:v>6</c:v>
                </c:pt>
                <c:pt idx="18" formatCode="General">
                  <c:v>7</c:v>
                </c:pt>
                <c:pt idx="19" formatCode="General">
                  <c:v>8</c:v>
                </c:pt>
                <c:pt idx="20" formatCode="General">
                  <c:v>9</c:v>
                </c:pt>
                <c:pt idx="21" formatCode="General">
                  <c:v>10</c:v>
                </c:pt>
                <c:pt idx="22" formatCode="General">
                  <c:v>11</c:v>
                </c:pt>
                <c:pt idx="23" formatCode="General">
                  <c:v>12</c:v>
                </c:pt>
                <c:pt idx="24" formatCode="General">
                  <c:v>13</c:v>
                </c:pt>
                <c:pt idx="25" formatCode="General">
                  <c:v>14</c:v>
                </c:pt>
                <c:pt idx="26" formatCode="General">
                  <c:v>15</c:v>
                </c:pt>
                <c:pt idx="27" formatCode="General">
                  <c:v>16</c:v>
                </c:pt>
                <c:pt idx="28" formatCode="General">
                  <c:v>17</c:v>
                </c:pt>
                <c:pt idx="29" formatCode="General">
                  <c:v>18</c:v>
                </c:pt>
                <c:pt idx="30" formatCode="General">
                  <c:v>19</c:v>
                </c:pt>
                <c:pt idx="31" formatCode="General">
                  <c:v>20</c:v>
                </c:pt>
                <c:pt idx="32" formatCode="General">
                  <c:v>21</c:v>
                </c:pt>
                <c:pt idx="33" formatCode="General">
                  <c:v>22</c:v>
                </c:pt>
                <c:pt idx="34" formatCode="General">
                  <c:v>23</c:v>
                </c:pt>
                <c:pt idx="35" formatCode="General">
                  <c:v>24</c:v>
                </c:pt>
                <c:pt idx="36" formatCode="General">
                  <c:v>25</c:v>
                </c:pt>
                <c:pt idx="37" formatCode="General">
                  <c:v>26</c:v>
                </c:pt>
                <c:pt idx="38" formatCode="General">
                  <c:v>27</c:v>
                </c:pt>
                <c:pt idx="39" formatCode="General">
                  <c:v>28</c:v>
                </c:pt>
                <c:pt idx="40" formatCode="General">
                  <c:v>29</c:v>
                </c:pt>
                <c:pt idx="41" formatCode="General">
                  <c:v>30</c:v>
                </c:pt>
                <c:pt idx="42" formatCode="General">
                  <c:v>31</c:v>
                </c:pt>
                <c:pt idx="43" formatCode="General">
                  <c:v>32</c:v>
                </c:pt>
                <c:pt idx="44" formatCode="General">
                  <c:v>33</c:v>
                </c:pt>
                <c:pt idx="45" formatCode="General">
                  <c:v>34</c:v>
                </c:pt>
                <c:pt idx="46" formatCode="General">
                  <c:v>35</c:v>
                </c:pt>
                <c:pt idx="47" formatCode="General">
                  <c:v>36</c:v>
                </c:pt>
                <c:pt idx="48" formatCode="General">
                  <c:v>37</c:v>
                </c:pt>
                <c:pt idx="49" formatCode="General">
                  <c:v>38</c:v>
                </c:pt>
                <c:pt idx="50" formatCode="General">
                  <c:v>39</c:v>
                </c:pt>
                <c:pt idx="51" formatCode="General">
                  <c:v>40</c:v>
                </c:pt>
                <c:pt idx="52" formatCode="General">
                  <c:v>41</c:v>
                </c:pt>
                <c:pt idx="53" formatCode="General">
                  <c:v>42</c:v>
                </c:pt>
                <c:pt idx="54" formatCode="General">
                  <c:v>43</c:v>
                </c:pt>
                <c:pt idx="55" formatCode="General">
                  <c:v>44</c:v>
                </c:pt>
                <c:pt idx="56" formatCode="General">
                  <c:v>45</c:v>
                </c:pt>
                <c:pt idx="57" formatCode="General">
                  <c:v>46</c:v>
                </c:pt>
                <c:pt idx="58" formatCode="General">
                  <c:v>47</c:v>
                </c:pt>
                <c:pt idx="59" formatCode="General">
                  <c:v>48</c:v>
                </c:pt>
                <c:pt idx="60" formatCode="General">
                  <c:v>49</c:v>
                </c:pt>
                <c:pt idx="61" formatCode="General">
                  <c:v>50</c:v>
                </c:pt>
              </c:numCache>
            </c:numRef>
          </c:xVal>
          <c:yVal>
            <c:numRef>
              <c:f>'Business profitability model'!$C$408:$C$469</c:f>
              <c:numCache>
                <c:formatCode>0.0%</c:formatCode>
                <c:ptCount val="62"/>
                <c:pt idx="0" formatCode="0%">
                  <c:v>1</c:v>
                </c:pt>
                <c:pt idx="1">
                  <c:v>0.95</c:v>
                </c:pt>
                <c:pt idx="2">
                  <c:v>0.90249999999999997</c:v>
                </c:pt>
                <c:pt idx="3">
                  <c:v>0.85737499999999989</c:v>
                </c:pt>
                <c:pt idx="4">
                  <c:v>0.81450624999999988</c:v>
                </c:pt>
                <c:pt idx="5">
                  <c:v>0.77378093749999988</c:v>
                </c:pt>
                <c:pt idx="6">
                  <c:v>0.74282969999999982</c:v>
                </c:pt>
                <c:pt idx="7">
                  <c:v>0.71311651199999981</c:v>
                </c:pt>
                <c:pt idx="8">
                  <c:v>0.68459185151999979</c:v>
                </c:pt>
                <c:pt idx="9">
                  <c:v>0.66405409597439979</c:v>
                </c:pt>
                <c:pt idx="10">
                  <c:v>0.64413247309516775</c:v>
                </c:pt>
                <c:pt idx="11">
                  <c:v>0.62480849890231271</c:v>
                </c:pt>
                <c:pt idx="12">
                  <c:v>0.6</c:v>
                </c:pt>
                <c:pt idx="13">
                  <c:v>0.36</c:v>
                </c:pt>
                <c:pt idx="14">
                  <c:v>0.252</c:v>
                </c:pt>
                <c:pt idx="15">
                  <c:v>0.1764</c:v>
                </c:pt>
                <c:pt idx="16">
                  <c:v>0.12347999999999999</c:v>
                </c:pt>
                <c:pt idx="17">
                  <c:v>0.104958</c:v>
                </c:pt>
                <c:pt idx="18">
                  <c:v>8.9214299999999996E-2</c:v>
                </c:pt>
                <c:pt idx="19">
                  <c:v>7.5832154999999998E-2</c:v>
                </c:pt>
                <c:pt idx="20">
                  <c:v>6.4457331749999999E-2</c:v>
                </c:pt>
                <c:pt idx="21">
                  <c:v>5.4788731987499999E-2</c:v>
                </c:pt>
                <c:pt idx="22">
                  <c:v>5.2049295388124993E-2</c:v>
                </c:pt>
                <c:pt idx="23">
                  <c:v>4.944683061871874E-2</c:v>
                </c:pt>
                <c:pt idx="24">
                  <c:v>4.6974489087782803E-2</c:v>
                </c:pt>
                <c:pt idx="25">
                  <c:v>4.4625764633393662E-2</c:v>
                </c:pt>
                <c:pt idx="26">
                  <c:v>4.2394476401723974E-2</c:v>
                </c:pt>
                <c:pt idx="27">
                  <c:v>4.0274752581637777E-2</c:v>
                </c:pt>
                <c:pt idx="28">
                  <c:v>3.8261014952555884E-2</c:v>
                </c:pt>
                <c:pt idx="29">
                  <c:v>3.6347964204928092E-2</c:v>
                </c:pt>
                <c:pt idx="30">
                  <c:v>3.4530565994681683E-2</c:v>
                </c:pt>
                <c:pt idx="31">
                  <c:v>3.2804037694947601E-2</c:v>
                </c:pt>
                <c:pt idx="32">
                  <c:v>3.116383581020022E-2</c:v>
                </c:pt>
                <c:pt idx="33">
                  <c:v>2.9605644019690208E-2</c:v>
                </c:pt>
                <c:pt idx="34">
                  <c:v>2.8125361818705695E-2</c:v>
                </c:pt>
                <c:pt idx="35">
                  <c:v>2.6719093727770409E-2</c:v>
                </c:pt>
                <c:pt idx="36">
                  <c:v>2.5383139041381887E-2</c:v>
                </c:pt>
                <c:pt idx="37">
                  <c:v>2.4113982089312792E-2</c:v>
                </c:pt>
                <c:pt idx="38">
                  <c:v>2.290828298484715E-2</c:v>
                </c:pt>
                <c:pt idx="39">
                  <c:v>2.1762868835604791E-2</c:v>
                </c:pt>
                <c:pt idx="40">
                  <c:v>2.0674725393824551E-2</c:v>
                </c:pt>
                <c:pt idx="41">
                  <c:v>1.9640989124133323E-2</c:v>
                </c:pt>
                <c:pt idx="42">
                  <c:v>1.8658939667926654E-2</c:v>
                </c:pt>
                <c:pt idx="43">
                  <c:v>1.7725992684530321E-2</c:v>
                </c:pt>
                <c:pt idx="44">
                  <c:v>1.6839693050303806E-2</c:v>
                </c:pt>
                <c:pt idx="45">
                  <c:v>1.5997708397788614E-2</c:v>
                </c:pt>
                <c:pt idx="46">
                  <c:v>1.5197822977899183E-2</c:v>
                </c:pt>
                <c:pt idx="47">
                  <c:v>1.4437931829004224E-2</c:v>
                </c:pt>
                <c:pt idx="48">
                  <c:v>1.3716035237554013E-2</c:v>
                </c:pt>
                <c:pt idx="49">
                  <c:v>1.3030233475676311E-2</c:v>
                </c:pt>
                <c:pt idx="50">
                  <c:v>1.2378721801892496E-2</c:v>
                </c:pt>
                <c:pt idx="51">
                  <c:v>1.1759785711797871E-2</c:v>
                </c:pt>
                <c:pt idx="52">
                  <c:v>1.0583807140618084E-2</c:v>
                </c:pt>
                <c:pt idx="53">
                  <c:v>8.996236069525371E-3</c:v>
                </c:pt>
                <c:pt idx="54">
                  <c:v>7.1969888556202974E-3</c:v>
                </c:pt>
                <c:pt idx="55">
                  <c:v>5.3977416417152228E-3</c:v>
                </c:pt>
                <c:pt idx="56">
                  <c:v>3.7784191492006556E-3</c:v>
                </c:pt>
                <c:pt idx="57">
                  <c:v>2.2670514895203934E-3</c:v>
                </c:pt>
                <c:pt idx="58">
                  <c:v>1.1335257447601967E-3</c:v>
                </c:pt>
                <c:pt idx="59">
                  <c:v>4.534102979040787E-4</c:v>
                </c:pt>
                <c:pt idx="60">
                  <c:v>9.0682059580815742E-5</c:v>
                </c:pt>
                <c:pt idx="6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95-4088-9C3E-50C12EF9A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5287920"/>
        <c:axId val="1025285520"/>
      </c:scatterChart>
      <c:valAx>
        <c:axId val="10252879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5285520"/>
        <c:crosses val="autoZero"/>
        <c:crossBetween val="midCat"/>
      </c:valAx>
      <c:valAx>
        <c:axId val="102528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52879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Lifetime earnings (NZ$)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'Lifetime earnings model'!$E$7</c:f>
              <c:strCache>
                <c:ptCount val="1"/>
                <c:pt idx="0">
                  <c:v>Lifetime earnings (NZ$)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047-4F8F-96DE-CDEDF35B9807}"/>
              </c:ext>
            </c:extLst>
          </c:dPt>
          <c:cat>
            <c:strRef>
              <c:f>'Lifetime earnings model'!$A$8:$A$21</c:f>
              <c:strCache>
                <c:ptCount val="14"/>
                <c:pt idx="0">
                  <c:v>None</c:v>
                </c:pt>
                <c:pt idx="1">
                  <c:v>NCEA - L1</c:v>
                </c:pt>
                <c:pt idx="2">
                  <c:v>NCEA - L2</c:v>
                </c:pt>
                <c:pt idx="3">
                  <c:v>NCEA - L3</c:v>
                </c:pt>
                <c:pt idx="4">
                  <c:v>Certificate - L2 - 60 credits</c:v>
                </c:pt>
                <c:pt idx="5">
                  <c:v>Certificate - L3 - 60 credits</c:v>
                </c:pt>
                <c:pt idx="6">
                  <c:v>Apprenticeship - L4 - 240 credits</c:v>
                </c:pt>
                <c:pt idx="7">
                  <c:v>Diploma - L5 - 120 credits</c:v>
                </c:pt>
                <c:pt idx="8">
                  <c:v>Average lifetime earnings</c:v>
                </c:pt>
                <c:pt idx="9">
                  <c:v>Diploma - L6 - 120 credits</c:v>
                </c:pt>
                <c:pt idx="10">
                  <c:v>Degreee - L7 - 360 credits</c:v>
                </c:pt>
                <c:pt idx="11">
                  <c:v>Post-grad diploma - 120 credits</c:v>
                </c:pt>
                <c:pt idx="12">
                  <c:v>Masters degree - 240 credits</c:v>
                </c:pt>
                <c:pt idx="13">
                  <c:v>Doctorate - 360 credits</c:v>
                </c:pt>
              </c:strCache>
            </c:strRef>
          </c:cat>
          <c:val>
            <c:numRef>
              <c:f>'Lifetime earnings model'!$E$8:$E$21</c:f>
              <c:numCache>
                <c:formatCode>_-* #,##0_-;\-* #,##0_-;_-* "-"??_-;_-@_-</c:formatCode>
                <c:ptCount val="14"/>
                <c:pt idx="0">
                  <c:v>1375000</c:v>
                </c:pt>
                <c:pt idx="1">
                  <c:v>1500000</c:v>
                </c:pt>
                <c:pt idx="2">
                  <c:v>1625000</c:v>
                </c:pt>
                <c:pt idx="3">
                  <c:v>1750000</c:v>
                </c:pt>
                <c:pt idx="4">
                  <c:v>1750000</c:v>
                </c:pt>
                <c:pt idx="5">
                  <c:v>1875000</c:v>
                </c:pt>
                <c:pt idx="6">
                  <c:v>2125000</c:v>
                </c:pt>
                <c:pt idx="7">
                  <c:v>2250000</c:v>
                </c:pt>
                <c:pt idx="8">
                  <c:v>2500000</c:v>
                </c:pt>
                <c:pt idx="9">
                  <c:v>2750000</c:v>
                </c:pt>
                <c:pt idx="10">
                  <c:v>3500000</c:v>
                </c:pt>
                <c:pt idx="11">
                  <c:v>4000000</c:v>
                </c:pt>
                <c:pt idx="12">
                  <c:v>4500000</c:v>
                </c:pt>
                <c:pt idx="13">
                  <c:v>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47-4F8F-96DE-CDEDF35B9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03124799"/>
        <c:axId val="703128639"/>
      </c:barChart>
      <c:catAx>
        <c:axId val="703124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3128639"/>
        <c:crosses val="autoZero"/>
        <c:auto val="1"/>
        <c:lblAlgn val="ctr"/>
        <c:lblOffset val="100"/>
        <c:noMultiLvlLbl val="0"/>
      </c:catAx>
      <c:valAx>
        <c:axId val="703128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31247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'Lifetime earnings model'!$E$50</c:f>
              <c:strCache>
                <c:ptCount val="1"/>
                <c:pt idx="0">
                  <c:v>Exponent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'Lifetime earnings model'!$D$51:$D$68</c:f>
              <c:numCache>
                <c:formatCode>General</c:formatCode>
                <c:ptCount val="18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</c:numCache>
            </c:numRef>
          </c:cat>
          <c:val>
            <c:numRef>
              <c:f>'Lifetime earnings model'!$E$51:$E$68</c:f>
              <c:numCache>
                <c:formatCode>_(* #,##0.00_);_(* \(#,##0.00\);_(* "-"??_);_(@_)</c:formatCode>
                <c:ptCount val="18"/>
                <c:pt idx="0">
                  <c:v>0</c:v>
                </c:pt>
                <c:pt idx="1">
                  <c:v>0.32686501469602802</c:v>
                </c:pt>
                <c:pt idx="2">
                  <c:v>0.44651076859939137</c:v>
                </c:pt>
                <c:pt idx="3">
                  <c:v>0.53588673126814657</c:v>
                </c:pt>
                <c:pt idx="4">
                  <c:v>0.60995168498111507</c:v>
                </c:pt>
                <c:pt idx="5">
                  <c:v>0.67438040254799103</c:v>
                </c:pt>
                <c:pt idx="6">
                  <c:v>0.73204284797281272</c:v>
                </c:pt>
                <c:pt idx="7">
                  <c:v>0.78462575089804354</c:v>
                </c:pt>
                <c:pt idx="8">
                  <c:v>0.83321855635937858</c:v>
                </c:pt>
                <c:pt idx="9">
                  <c:v>0.87857242542864411</c:v>
                </c:pt>
                <c:pt idx="10">
                  <c:v>0.92123077824679023</c:v>
                </c:pt>
                <c:pt idx="11">
                  <c:v>0.96160153428773953</c:v>
                </c:pt>
                <c:pt idx="12">
                  <c:v>1</c:v>
                </c:pt>
                <c:pt idx="13">
                  <c:v>1.0366757696041264</c:v>
                </c:pt>
                <c:pt idx="14">
                  <c:v>1.0718303622128738</c:v>
                </c:pt>
                <c:pt idx="15">
                  <c:v>1.1056292148268607</c:v>
                </c:pt>
                <c:pt idx="16">
                  <c:v>1.1382100906616923</c:v>
                </c:pt>
                <c:pt idx="17">
                  <c:v>1.1696891297315086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E64-41EF-816D-53CCA1AEB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6351855"/>
        <c:axId val="706352335"/>
      </c:lineChart>
      <c:catAx>
        <c:axId val="706351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6352335"/>
        <c:crosses val="autoZero"/>
        <c:auto val="1"/>
        <c:lblAlgn val="ctr"/>
        <c:lblOffset val="100"/>
        <c:noMultiLvlLbl val="0"/>
      </c:catAx>
      <c:valAx>
        <c:axId val="706352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63518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000" b="1"/>
              <a:t>By industry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0277806183318"/>
          <c:y val="0.17171296296296296"/>
          <c:w val="0.2260459488018543"/>
          <c:h val="0.72125801983085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'Dashboard chart data'!$B$38</c:f>
              <c:strCache>
                <c:ptCount val="1"/>
                <c:pt idx="0">
                  <c:v>Dairy farming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'Dashboard chart data'!$C$38</c:f>
              <c:numCache>
                <c:formatCode>0%</c:formatCode>
                <c:ptCount val="1"/>
                <c:pt idx="0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4C-4B67-812F-B725B1F38D13}"/>
            </c:ext>
          </c:extLst>
        </c:ser>
        <c:ser>
          <c:idx val="1"/>
          <c:order val="1"/>
          <c:tx>
            <c:strRef>
              <c:f>'Dashboard chart data'!$B$39</c:f>
              <c:strCache>
                <c:ptCount val="1"/>
                <c:pt idx="0">
                  <c:v>Fruit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'Dashboard chart data'!$C$39</c:f>
              <c:numCache>
                <c:formatCode>0%</c:formatCode>
                <c:ptCount val="1"/>
                <c:pt idx="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4C-4B67-812F-B725B1F38D13}"/>
            </c:ext>
          </c:extLst>
        </c:ser>
        <c:ser>
          <c:idx val="2"/>
          <c:order val="2"/>
          <c:tx>
            <c:strRef>
              <c:f>'Dashboard chart data'!$B$40</c:f>
              <c:strCache>
                <c:ptCount val="1"/>
                <c:pt idx="0">
                  <c:v>Arable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'Dashboard chart data'!$C$40</c:f>
              <c:numCache>
                <c:formatCode>0%</c:formatCode>
                <c:ptCount val="1"/>
                <c:pt idx="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44C-4B67-812F-B725B1F38D13}"/>
            </c:ext>
          </c:extLst>
        </c:ser>
        <c:ser>
          <c:idx val="3"/>
          <c:order val="3"/>
          <c:tx>
            <c:strRef>
              <c:f>'Dashboard chart data'!$B$41</c:f>
              <c:strCache>
                <c:ptCount val="1"/>
                <c:pt idx="0">
                  <c:v>Grapes and wine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'Dashboard chart data'!$C$41</c:f>
              <c:numCache>
                <c:formatCode>0%</c:formatCode>
                <c:ptCount val="1"/>
                <c:pt idx="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44C-4B67-812F-B725B1F38D13}"/>
            </c:ext>
          </c:extLst>
        </c:ser>
        <c:ser>
          <c:idx val="4"/>
          <c:order val="4"/>
          <c:tx>
            <c:strRef>
              <c:f>'Dashboard chart data'!$B$42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'Dashboard chart data'!$C$42</c:f>
              <c:numCache>
                <c:formatCode>0%</c:formatCode>
                <c:ptCount val="1"/>
                <c:pt idx="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C44C-4B67-812F-B725B1F38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8340159"/>
        <c:axId val="1868342079"/>
      </c:barChart>
      <c:catAx>
        <c:axId val="186834015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68342079"/>
        <c:crosses val="autoZero"/>
        <c:auto val="1"/>
        <c:lblAlgn val="ctr"/>
        <c:lblOffset val="100"/>
        <c:noMultiLvlLbl val="0"/>
      </c:catAx>
      <c:valAx>
        <c:axId val="1868342079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340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0825135494426834"/>
          <c:y val="0.18027357157278417"/>
          <c:w val="0.53953164945290932"/>
          <c:h val="0.71154451847365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000" b="1"/>
              <a:t>By role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0277806183318"/>
          <c:y val="0.17171296296296296"/>
          <c:w val="0.2260459488018543"/>
          <c:h val="0.72125801983085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'Dashboard chart data'!$E$38</c:f>
              <c:strCache>
                <c:ptCount val="1"/>
                <c:pt idx="0">
                  <c:v>Semi-autonomous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'Dashboard chart data'!$F$38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4C-4B67-812F-B725B1F38D13}"/>
            </c:ext>
          </c:extLst>
        </c:ser>
        <c:ser>
          <c:idx val="1"/>
          <c:order val="1"/>
          <c:tx>
            <c:strRef>
              <c:f>'Dashboard chart data'!$E$39</c:f>
              <c:strCache>
                <c:ptCount val="1"/>
                <c:pt idx="0">
                  <c:v>Managed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'Dashboard chart data'!$F$39</c:f>
              <c:numCache>
                <c:formatCode>0%</c:formatCode>
                <c:ptCount val="1"/>
                <c:pt idx="0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4C-4B67-812F-B725B1F38D13}"/>
            </c:ext>
          </c:extLst>
        </c:ser>
        <c:ser>
          <c:idx val="2"/>
          <c:order val="2"/>
          <c:tx>
            <c:strRef>
              <c:f>'Dashboard chart data'!$E$40</c:f>
              <c:strCache>
                <c:ptCount val="1"/>
                <c:pt idx="0">
                  <c:v>Manager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'Dashboard chart data'!$F$40</c:f>
              <c:numCache>
                <c:formatCode>0%</c:formatCode>
                <c:ptCount val="1"/>
                <c:pt idx="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44C-4B67-812F-B725B1F38D13}"/>
            </c:ext>
          </c:extLst>
        </c:ser>
        <c:ser>
          <c:idx val="3"/>
          <c:order val="3"/>
          <c:tx>
            <c:strRef>
              <c:f>'Dashboard chart data'!$E$41</c:f>
              <c:strCache>
                <c:ptCount val="1"/>
                <c:pt idx="0">
                  <c:v>-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'Dashboard chart data'!$F$41</c:f>
              <c:numCache>
                <c:formatCode>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44C-4B67-812F-B725B1F38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8340159"/>
        <c:axId val="1868342079"/>
      </c:barChart>
      <c:catAx>
        <c:axId val="186834015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68342079"/>
        <c:crosses val="autoZero"/>
        <c:auto val="1"/>
        <c:lblAlgn val="ctr"/>
        <c:lblOffset val="100"/>
        <c:noMultiLvlLbl val="0"/>
      </c:catAx>
      <c:valAx>
        <c:axId val="1868342079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340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0825135494426834"/>
          <c:y val="0.18027357157278417"/>
          <c:w val="0.53953164945290932"/>
          <c:h val="0.71154451847365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31" fmlaLink="$A$5" max="45" min="1" page="10" val="8"/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4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A3F27F10-BB05-4962-880D-C18A8DE225EC}"/>
            </a:ext>
            <a:ext uri="{6ECC49D1-AA05-4338-93AA-15A1B29DFB0A}">
              <asl:scriptLink xmlns:asl="http://schemas.microsoft.com/office/drawing/2021/scriptlink" val="{&quot;shareId&quot;:&quot;ms-officescript%3A%2F%2Fonedrive_business_sharinglink%2Fu!aHR0cHM6Ly9zY2FybGF0dGktbXkuc2hhcmVwb2ludC5jb20vOnU6L2cvcGVyc29uYWwvYWRhbV9iYXJrZXJfc2NhcmxhdHRpX2NvX256L0VYSXpoOGVLWk9KSXItMWZGMXh0Nk1jQmxxU3gtWElJWERQVGVwTTd4aWdQQWc&quot;}"/>
            </a:ext>
          </a:extLst>
        </xdr:cNvPr>
        <xdr:cNvSpPr/>
      </xdr:nvSpPr>
      <xdr:spPr>
        <a:xfrm>
          <a:off x="8782050" y="965200"/>
          <a:ext cx="1905000" cy="660400"/>
        </a:xfrm>
        <a:prstGeom prst="roundRect">
          <a:avLst/>
        </a:prstGeom>
        <a:solidFill>
          <a:schemeClr val="tx1"/>
        </a:solidFill>
        <a:ln w="19050" cap="flat" cmpd="sng" algn="ctr">
          <a:noFill/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NZ"/>
            <a:t>Update training programmes data table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132</xdr:row>
      <xdr:rowOff>0</xdr:rowOff>
    </xdr:from>
    <xdr:to>
      <xdr:col>3</xdr:col>
      <xdr:colOff>0</xdr:colOff>
      <xdr:row>154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8CF6373-894E-910A-82F9-A589BDE35A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161</xdr:row>
      <xdr:rowOff>0</xdr:rowOff>
    </xdr:from>
    <xdr:to>
      <xdr:col>3</xdr:col>
      <xdr:colOff>0</xdr:colOff>
      <xdr:row>183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8D156D6-A12A-4D99-B01C-36763DD529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189</xdr:row>
      <xdr:rowOff>0</xdr:rowOff>
    </xdr:from>
    <xdr:to>
      <xdr:col>3</xdr:col>
      <xdr:colOff>0</xdr:colOff>
      <xdr:row>211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FFDCCC7-C1FA-A110-D18F-564EE766D1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220</xdr:row>
      <xdr:rowOff>0</xdr:rowOff>
    </xdr:from>
    <xdr:to>
      <xdr:col>3</xdr:col>
      <xdr:colOff>0</xdr:colOff>
      <xdr:row>242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99EB64C-D66B-6550-B023-EFA7799152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818752</xdr:colOff>
      <xdr:row>406</xdr:row>
      <xdr:rowOff>696913</xdr:rowOff>
    </xdr:from>
    <xdr:to>
      <xdr:col>16</xdr:col>
      <xdr:colOff>47625</xdr:colOff>
      <xdr:row>434</xdr:row>
      <xdr:rowOff>35718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5CF828-3297-E721-DF58-41AAC5734E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</xdr:row>
      <xdr:rowOff>0</xdr:rowOff>
    </xdr:from>
    <xdr:to>
      <xdr:col>12</xdr:col>
      <xdr:colOff>786000</xdr:colOff>
      <xdr:row>24</xdr:row>
      <xdr:rowOff>18600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1848FF2-6E71-9C44-5C7C-98EE397E53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415925</xdr:colOff>
      <xdr:row>50</xdr:row>
      <xdr:rowOff>66675</xdr:rowOff>
    </xdr:from>
    <xdr:to>
      <xdr:col>10</xdr:col>
      <xdr:colOff>542925</xdr:colOff>
      <xdr:row>67</xdr:row>
      <xdr:rowOff>3175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65E08AD-7996-C71A-0597-4F0EBEFC61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4</xdr:row>
          <xdr:rowOff>0</xdr:rowOff>
        </xdr:from>
        <xdr:to>
          <xdr:col>2</xdr:col>
          <xdr:colOff>0</xdr:colOff>
          <xdr:row>5</xdr:row>
          <xdr:rowOff>0</xdr:rowOff>
        </xdr:to>
        <xdr:sp macro="" textlink="">
          <xdr:nvSpPr>
            <xdr:cNvPr id="9218" name="Spinner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8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45</xdr:row>
      <xdr:rowOff>0</xdr:rowOff>
    </xdr:from>
    <xdr:to>
      <xdr:col>3</xdr:col>
      <xdr:colOff>0</xdr:colOff>
      <xdr:row>55</xdr:row>
      <xdr:rowOff>76200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1C534E32-E819-4F79-0E10-82663D3003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45</xdr:row>
      <xdr:rowOff>0</xdr:rowOff>
    </xdr:from>
    <xdr:to>
      <xdr:col>6</xdr:col>
      <xdr:colOff>0</xdr:colOff>
      <xdr:row>55</xdr:row>
      <xdr:rowOff>76200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33CD475A-5C4A-34D7-2F60-D264B49D07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45</xdr:row>
      <xdr:rowOff>0</xdr:rowOff>
    </xdr:from>
    <xdr:to>
      <xdr:col>9</xdr:col>
      <xdr:colOff>0</xdr:colOff>
      <xdr:row>55</xdr:row>
      <xdr:rowOff>76200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D4B6AD4C-6D82-4DE0-FDEA-2AC2C7491F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45</xdr:row>
      <xdr:rowOff>0</xdr:rowOff>
    </xdr:from>
    <xdr:to>
      <xdr:col>12</xdr:col>
      <xdr:colOff>0</xdr:colOff>
      <xdr:row>55</xdr:row>
      <xdr:rowOff>76200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2C9B7271-9948-A449-5F0B-4AB0C292DF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18</xdr:row>
      <xdr:rowOff>0</xdr:rowOff>
    </xdr:from>
    <xdr:to>
      <xdr:col>16</xdr:col>
      <xdr:colOff>0</xdr:colOff>
      <xdr:row>31</xdr:row>
      <xdr:rowOff>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59FD9A06-9741-4C4A-A858-AC94915E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0</xdr:colOff>
      <xdr:row>18</xdr:row>
      <xdr:rowOff>0</xdr:rowOff>
    </xdr:from>
    <xdr:to>
      <xdr:col>32</xdr:col>
      <xdr:colOff>0</xdr:colOff>
      <xdr:row>31</xdr:row>
      <xdr:rowOff>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87CF3727-0A5A-10A7-A2C5-164EC2515B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190500</xdr:colOff>
      <xdr:row>18</xdr:row>
      <xdr:rowOff>0</xdr:rowOff>
    </xdr:from>
    <xdr:to>
      <xdr:col>48</xdr:col>
      <xdr:colOff>0</xdr:colOff>
      <xdr:row>31</xdr:row>
      <xdr:rowOff>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9AA47E5B-B367-360C-5680-B38CBA9DF2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49</xdr:col>
      <xdr:colOff>0</xdr:colOff>
      <xdr:row>18</xdr:row>
      <xdr:rowOff>0</xdr:rowOff>
    </xdr:from>
    <xdr:to>
      <xdr:col>64</xdr:col>
      <xdr:colOff>0</xdr:colOff>
      <xdr:row>31</xdr:row>
      <xdr:rowOff>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2C9A9CA8-3CFF-46CE-8C87-C74751E66C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dam Barker" id="{68C7BD4C-3F45-4075-87CC-7256281D7AD5}" userId="S::adam.barker@scarlatti.co.nz::e177c9d3-3c5b-4e17-8904-d8c8900967ff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DCBE80-D032-4E2A-A5FA-1DDB1976C0C9}" name="prod_mgt_relevance" displayName="prod_mgt_relevance" ref="A328:Q362" totalsRowShown="0" headerRowDxfId="45" dataDxfId="44">
  <autoFilter ref="A328:Q362" xr:uid="{F5DCBE80-D032-4E2A-A5FA-1DDB1976C0C9}"/>
  <tableColumns count="17">
    <tableColumn id="1" xr3:uid="{84C10280-4417-47B1-98CA-F30BDB3A4E14}" name="NZSCED label" dataDxfId="43"/>
    <tableColumn id="2" xr3:uid="{149F17A5-8AB4-423C-B652-BAA2C841D413}" name="NZSCED code" dataDxfId="42" dataCellStyle="Percent"/>
    <tableColumn id="3" xr3:uid="{52A42317-4E45-43EA-B6CF-B7F602BF0637}" name="Apiculture" dataDxfId="41" dataCellStyle="Percent"/>
    <tableColumn id="4" xr3:uid="{53FD7F53-864A-4AC6-B859-7AFF7B668D24}" name="Arable" dataDxfId="40" dataCellStyle="Percent"/>
    <tableColumn id="5" xr3:uid="{1F7963EF-12FE-40E7-B02E-7465DB32AB0E}" name="Dairy farming" dataDxfId="39" dataCellStyle="Percent"/>
    <tableColumn id="6" xr3:uid="{25CC9164-D58D-4A97-9771-708743FDDC77}" name="Equine, dogs and racing" dataDxfId="38" dataCellStyle="Percent"/>
    <tableColumn id="7" xr3:uid="{BC60F293-2FA2-49C0-B9C8-4B9F66571D0F}" name="Forestry" dataDxfId="37" dataCellStyle="Percent"/>
    <tableColumn id="8" xr3:uid="{22EF073A-2E63-4CC8-95C1-CF31FD879775}" name="Fruit" dataDxfId="36" dataCellStyle="Percent"/>
    <tableColumn id="9" xr3:uid="{70D4EE83-47B8-48B5-9361-12F97CF4183F}" name="Grapes and wine" dataDxfId="35" dataCellStyle="Percent"/>
    <tableColumn id="10" xr3:uid="{DF491CFB-48BB-4BE2-8B3E-B65AE3A9CC4C}" name="Nursery, turf and gardening" dataDxfId="34" dataCellStyle="Percent"/>
    <tableColumn id="11" xr3:uid="{C5F4FA57-A454-47BD-B6A2-81D873DD1324}" name="Poultry, pigs and other livestock farming" dataDxfId="33" dataCellStyle="Percent"/>
    <tableColumn id="12" xr3:uid="{51315476-759B-4C96-B0A1-24AC97A355A8}" name="Seafood - processing" dataDxfId="32" dataCellStyle="Percent"/>
    <tableColumn id="13" xr3:uid="{A1801EDF-87C7-4FBC-9BCD-41D3BDEC5FFD}" name="Seafood - production" dataDxfId="31" dataCellStyle="Percent"/>
    <tableColumn id="14" xr3:uid="{7B53F7D5-2B85-40BC-B518-200225289373}" name="Sheep, beef and deer farming" dataDxfId="30" dataCellStyle="Percent"/>
    <tableColumn id="15" xr3:uid="{7E9D6BD7-9B82-4EB8-91CE-02B984003691}" name="Support services" dataDxfId="29" dataCellStyle="Percent"/>
    <tableColumn id="16" xr3:uid="{53DAD92A-B398-4A09-BA61-6534AD44367C}" name="Vegetables" dataDxfId="28" dataCellStyle="Percent"/>
    <tableColumn id="17" xr3:uid="{F0382220-DE84-4D9E-9BD9-1DD6CB70D53A}" name="Veterinary" dataDxfId="27" dataCellStyle="Perce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5B97A9C-5F9E-4AE8-83CC-0C3C0759EC60}" name="bus_mgt_relevance" displayName="bus_mgt_relevance" ref="A368:Q402" totalsRowShown="0" headerRowDxfId="26" dataDxfId="25" dataCellStyle="Percent">
  <autoFilter ref="A368:Q402" xr:uid="{05B97A9C-5F9E-4AE8-83CC-0C3C0759EC60}"/>
  <tableColumns count="17">
    <tableColumn id="1" xr3:uid="{874F3884-A91F-4A26-9E76-A4D667E8D35C}" name="NZSCED label" dataDxfId="24"/>
    <tableColumn id="2" xr3:uid="{033DB0B5-D6EC-4D51-9949-4AFA7149F17B}" name="NZSCED code" dataDxfId="23"/>
    <tableColumn id="3" xr3:uid="{09DC817D-A6F5-4C6D-8001-AAF743F6F904}" name="Apiculture" dataDxfId="22" dataCellStyle="Percent"/>
    <tableColumn id="4" xr3:uid="{4BF9838B-747F-4F65-8DD9-E2F68A178A8D}" name="Arable" dataDxfId="21" dataCellStyle="Percent"/>
    <tableColumn id="5" xr3:uid="{C9120C3D-FDCF-46B1-B098-BDFAB69695B7}" name="Dairy farming" dataDxfId="20" dataCellStyle="Percent"/>
    <tableColumn id="6" xr3:uid="{A238A471-C3E5-443C-BA37-5065B70110B3}" name="Equine, dogs and racing" dataDxfId="19" dataCellStyle="Percent"/>
    <tableColumn id="7" xr3:uid="{85687265-550E-4A26-96DA-3E95F54B3902}" name="Forestry" dataDxfId="18" dataCellStyle="Percent"/>
    <tableColumn id="8" xr3:uid="{7C5C93E4-3249-4A23-A558-830A3024A45E}" name="Fruit" dataDxfId="17" dataCellStyle="Percent"/>
    <tableColumn id="9" xr3:uid="{6D9F6A6E-09D0-44E3-BFCB-B53A6A05C875}" name="Grapes and wine" dataDxfId="16" dataCellStyle="Percent"/>
    <tableColumn id="10" xr3:uid="{465ADE85-0BA1-44DE-A481-7656887EAF76}" name="Nursery, turf and gardening" dataDxfId="15" dataCellStyle="Percent"/>
    <tableColumn id="11" xr3:uid="{6EB8D1E5-4FD8-4BF4-9B3A-AE214CBA99AF}" name="Poultry, pigs and other livestock farming" dataDxfId="14" dataCellStyle="Percent"/>
    <tableColumn id="12" xr3:uid="{41E38ED0-F8D4-4D85-BA7B-9CAFBC2BA816}" name="Seafood - processing" dataDxfId="13" dataCellStyle="Percent"/>
    <tableColumn id="13" xr3:uid="{34944B37-EDB7-438C-B9A9-ABF5D1EC8371}" name="Seafood - production" dataDxfId="12" dataCellStyle="Percent"/>
    <tableColumn id="14" xr3:uid="{30B2B7DE-42A4-44C8-A45F-56228D941696}" name="Sheep, beef and deer farming" dataDxfId="11" dataCellStyle="Percent"/>
    <tableColumn id="15" xr3:uid="{114F3D9E-240C-4F24-89E2-E76BBAD54854}" name="Support services" dataDxfId="10" dataCellStyle="Percent"/>
    <tableColumn id="16" xr3:uid="{117FE0D0-7A69-4C45-9D95-CA5676EA91F7}" name="Vegetables" dataDxfId="9" dataCellStyle="Percent"/>
    <tableColumn id="17" xr3:uid="{0EB28B1E-077C-47BE-A457-CCA670496534}" name="Veterinary" dataDxfId="8" dataCellStyle="Perc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carlatti">
      <a:dk1>
        <a:sysClr val="windowText" lastClr="000000"/>
      </a:dk1>
      <a:lt1>
        <a:sysClr val="window" lastClr="FFFFFF"/>
      </a:lt1>
      <a:dk2>
        <a:srgbClr val="1B998B"/>
      </a:dk2>
      <a:lt2>
        <a:srgbClr val="E4813F"/>
      </a:lt2>
      <a:accent1>
        <a:srgbClr val="CCB99F"/>
      </a:accent1>
      <a:accent2>
        <a:srgbClr val="084C61"/>
      </a:accent2>
      <a:accent3>
        <a:srgbClr val="726C60"/>
      </a:accent3>
      <a:accent4>
        <a:srgbClr val="E7B953"/>
      </a:accent4>
      <a:accent5>
        <a:srgbClr val="177E89"/>
      </a:accent5>
      <a:accent6>
        <a:srgbClr val="28140A"/>
      </a:accent6>
      <a:hlink>
        <a:srgbClr val="3C3C3C"/>
      </a:hlink>
      <a:folHlink>
        <a:srgbClr val="3C3C3C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1" dT="2025-09-30T04:36:01.84" personId="{68C7BD4C-3F45-4075-87CC-7256281D7AD5}" id="{28271B99-BB2C-44E0-92D0-34F339AE2375}">
    <text xml:space="preserve">Special case - typing zero here discounts it in the lifetime earnings model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5" dT="2025-09-24T09:24:39.60" personId="{68C7BD4C-3F45-4075-87CC-7256281D7AD5}" id="{71D4E2F4-38DB-48D9-BB65-27385950FBF6}">
    <text>Source: DairyNZ Economic Survey 2023-24</text>
  </threadedComment>
  <threadedComment ref="B6" dT="2025-09-24T09:26:45.06" personId="{68C7BD4C-3F45-4075-87CC-7256281D7AD5}" id="{CCF4744F-31BE-48D9-8473-EB990E9754A6}">
    <text xml:space="preserve">Assumption
- Previous workshops to crowdsource this assumption typically arrive at estimates between 30% and 70%
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F6" dT="2025-10-01T23:20:04.14" personId="{68C7BD4C-3F45-4075-87CC-7256281D7AD5}" id="{C3CE5587-4E27-494C-B0E5-00DC18C3D6FB}">
    <text>Based on the 0.6 economies of scale rule used in engineering</text>
  </threadedComment>
  <threadedComment ref="F7" dT="2025-10-01T23:20:28.75" personId="{68C7BD4C-3F45-4075-87CC-7256281D7AD5}" id="{BFDBCF0A-A616-4219-A28F-192DC63F07E1}">
    <text>Assume only minor economies of scale</text>
  </threadedComment>
  <threadedComment ref="F8" dT="2025-10-01T23:20:44.30" personId="{68C7BD4C-3F45-4075-87CC-7256281D7AD5}" id="{44DC9A05-BE5B-4549-BBA4-6198C3C14699}">
    <text xml:space="preserve">Assume no economies of scale
</text>
  </threadedComment>
  <threadedComment ref="F9" dT="2025-10-01T23:21:33.73" personId="{68C7BD4C-3F45-4075-87CC-7256281D7AD5}" id="{748B01C1-82AC-4EE2-AAFA-5D76C851F46C}">
    <text>Assume close to classroom learning</text>
  </threadedComment>
  <threadedComment ref="F10" dT="2025-10-01T23:20:28.75" personId="{68C7BD4C-3F45-4075-87CC-7256281D7AD5}" id="{3BB967C9-B023-4459-A39C-7CE506B62024}">
    <text>Assume only minor economies of scale</text>
  </threadedComment>
</ThreadedComment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microsoft.com/office/2017/10/relationships/threadedComment" Target="../threadedComments/threadedComment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omments" Target="../comments2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A36CC-36A9-4D0F-9D60-BDA12D98717A}">
  <sheetPr codeName="Sheet7">
    <tabColor theme="0" tint="-0.249977111117893"/>
  </sheetPr>
  <dimension ref="A1:AZ67"/>
  <sheetViews>
    <sheetView tabSelected="1" workbookViewId="0">
      <selection activeCell="B29" sqref="B29"/>
    </sheetView>
  </sheetViews>
  <sheetFormatPr defaultColWidth="8.734375" defaultRowHeight="22" customHeight="1" x14ac:dyDescent="0.55000000000000004"/>
  <cols>
    <col min="1" max="1" width="4.1015625" style="172" customWidth="1"/>
    <col min="2" max="2" width="37.5234375" style="139" customWidth="1"/>
    <col min="3" max="3" width="121.7890625" style="139" customWidth="1"/>
    <col min="4" max="52" width="8.734375" style="172"/>
    <col min="53" max="16384" width="8.734375" style="139"/>
  </cols>
  <sheetData>
    <row r="1" spans="1:3" ht="22" customHeight="1" x14ac:dyDescent="0.55000000000000004">
      <c r="A1" s="171"/>
      <c r="B1" s="171" t="s">
        <v>279</v>
      </c>
      <c r="C1" s="171" t="s">
        <v>282</v>
      </c>
    </row>
    <row r="2" spans="1:3" ht="22" customHeight="1" x14ac:dyDescent="0.55000000000000004">
      <c r="A2" s="127"/>
      <c r="B2" s="127"/>
      <c r="C2" s="127"/>
    </row>
    <row r="3" spans="1:3" ht="22" customHeight="1" x14ac:dyDescent="0.55000000000000004">
      <c r="A3" s="127"/>
      <c r="B3" s="188" t="s">
        <v>280</v>
      </c>
      <c r="C3" s="127" t="s">
        <v>281</v>
      </c>
    </row>
    <row r="4" spans="1:3" ht="22" customHeight="1" x14ac:dyDescent="0.55000000000000004">
      <c r="A4" s="127"/>
      <c r="B4" s="188" t="s">
        <v>283</v>
      </c>
      <c r="C4" s="127" t="s">
        <v>467</v>
      </c>
    </row>
    <row r="5" spans="1:3" ht="22" customHeight="1" x14ac:dyDescent="0.55000000000000004">
      <c r="A5" s="127"/>
      <c r="B5" s="188" t="s">
        <v>375</v>
      </c>
      <c r="C5" s="127" t="s">
        <v>374</v>
      </c>
    </row>
    <row r="6" spans="1:3" ht="22" customHeight="1" x14ac:dyDescent="0.55000000000000004">
      <c r="A6" s="127"/>
      <c r="B6" s="189" t="s">
        <v>284</v>
      </c>
      <c r="C6" s="127" t="s">
        <v>285</v>
      </c>
    </row>
    <row r="7" spans="1:3" ht="22" customHeight="1" x14ac:dyDescent="0.55000000000000004">
      <c r="A7" s="127"/>
      <c r="B7" s="189" t="s">
        <v>286</v>
      </c>
      <c r="C7" s="127" t="s">
        <v>287</v>
      </c>
    </row>
    <row r="8" spans="1:3" ht="22" customHeight="1" x14ac:dyDescent="0.55000000000000004">
      <c r="A8" s="127"/>
      <c r="B8" s="190" t="s">
        <v>288</v>
      </c>
      <c r="C8" s="127" t="s">
        <v>293</v>
      </c>
    </row>
    <row r="9" spans="1:3" ht="22" customHeight="1" x14ac:dyDescent="0.55000000000000004">
      <c r="A9" s="127"/>
      <c r="B9" s="190" t="s">
        <v>289</v>
      </c>
      <c r="C9" s="127" t="s">
        <v>294</v>
      </c>
    </row>
    <row r="10" spans="1:3" ht="22" customHeight="1" x14ac:dyDescent="0.55000000000000004">
      <c r="A10" s="127"/>
      <c r="B10" s="190" t="s">
        <v>290</v>
      </c>
      <c r="C10" s="127" t="s">
        <v>295</v>
      </c>
    </row>
    <row r="11" spans="1:3" ht="22" customHeight="1" x14ac:dyDescent="0.55000000000000004">
      <c r="A11" s="127"/>
      <c r="B11" s="190" t="s">
        <v>310</v>
      </c>
      <c r="C11" s="127" t="s">
        <v>311</v>
      </c>
    </row>
    <row r="12" spans="1:3" ht="22" customHeight="1" x14ac:dyDescent="0.55000000000000004">
      <c r="A12" s="127"/>
      <c r="B12" s="190" t="s">
        <v>465</v>
      </c>
      <c r="C12" s="127" t="s">
        <v>466</v>
      </c>
    </row>
    <row r="13" spans="1:3" ht="22" customHeight="1" x14ac:dyDescent="0.55000000000000004">
      <c r="A13" s="127"/>
      <c r="B13" s="191" t="s">
        <v>291</v>
      </c>
      <c r="C13" s="127" t="s">
        <v>296</v>
      </c>
    </row>
    <row r="14" spans="1:3" ht="22" customHeight="1" x14ac:dyDescent="0.55000000000000004">
      <c r="A14" s="127"/>
      <c r="B14" s="191" t="s">
        <v>292</v>
      </c>
      <c r="C14" s="127" t="s">
        <v>297</v>
      </c>
    </row>
    <row r="15" spans="1:3" ht="22" customHeight="1" x14ac:dyDescent="0.55000000000000004">
      <c r="A15" s="127"/>
      <c r="B15" s="127"/>
      <c r="C15" s="127"/>
    </row>
    <row r="16" spans="1:3" s="172" customFormat="1" ht="22" customHeight="1" x14ac:dyDescent="0.55000000000000004"/>
    <row r="17" s="172" customFormat="1" ht="22" customHeight="1" x14ac:dyDescent="0.55000000000000004"/>
    <row r="18" s="172" customFormat="1" ht="22" customHeight="1" x14ac:dyDescent="0.55000000000000004"/>
    <row r="19" s="172" customFormat="1" ht="22" customHeight="1" x14ac:dyDescent="0.55000000000000004"/>
    <row r="20" s="172" customFormat="1" ht="22" customHeight="1" x14ac:dyDescent="0.55000000000000004"/>
    <row r="21" s="172" customFormat="1" ht="22" customHeight="1" x14ac:dyDescent="0.55000000000000004"/>
    <row r="22" s="172" customFormat="1" ht="22" customHeight="1" x14ac:dyDescent="0.55000000000000004"/>
    <row r="23" s="172" customFormat="1" ht="22" customHeight="1" x14ac:dyDescent="0.55000000000000004"/>
    <row r="24" s="172" customFormat="1" ht="22" customHeight="1" x14ac:dyDescent="0.55000000000000004"/>
    <row r="25" s="172" customFormat="1" ht="22" customHeight="1" x14ac:dyDescent="0.55000000000000004"/>
    <row r="26" s="172" customFormat="1" ht="22" customHeight="1" x14ac:dyDescent="0.55000000000000004"/>
    <row r="27" s="172" customFormat="1" ht="22" customHeight="1" x14ac:dyDescent="0.55000000000000004"/>
    <row r="28" s="172" customFormat="1" ht="22" customHeight="1" x14ac:dyDescent="0.55000000000000004"/>
    <row r="29" s="172" customFormat="1" ht="22" customHeight="1" x14ac:dyDescent="0.55000000000000004"/>
    <row r="30" s="172" customFormat="1" ht="22" customHeight="1" x14ac:dyDescent="0.55000000000000004"/>
    <row r="31" s="172" customFormat="1" ht="22" customHeight="1" x14ac:dyDescent="0.55000000000000004"/>
    <row r="32" s="172" customFormat="1" ht="22" customHeight="1" x14ac:dyDescent="0.55000000000000004"/>
    <row r="33" s="172" customFormat="1" ht="22" customHeight="1" x14ac:dyDescent="0.55000000000000004"/>
    <row r="34" s="172" customFormat="1" ht="22" customHeight="1" x14ac:dyDescent="0.55000000000000004"/>
    <row r="35" s="172" customFormat="1" ht="22" customHeight="1" x14ac:dyDescent="0.55000000000000004"/>
    <row r="36" s="172" customFormat="1" ht="22" customHeight="1" x14ac:dyDescent="0.55000000000000004"/>
    <row r="37" s="172" customFormat="1" ht="22" customHeight="1" x14ac:dyDescent="0.55000000000000004"/>
    <row r="38" s="172" customFormat="1" ht="22" customHeight="1" x14ac:dyDescent="0.55000000000000004"/>
    <row r="39" s="172" customFormat="1" ht="22" customHeight="1" x14ac:dyDescent="0.55000000000000004"/>
    <row r="40" s="172" customFormat="1" ht="22" customHeight="1" x14ac:dyDescent="0.55000000000000004"/>
    <row r="41" s="172" customFormat="1" ht="22" customHeight="1" x14ac:dyDescent="0.55000000000000004"/>
    <row r="42" s="172" customFormat="1" ht="22" customHeight="1" x14ac:dyDescent="0.55000000000000004"/>
    <row r="43" s="172" customFormat="1" ht="22" customHeight="1" x14ac:dyDescent="0.55000000000000004"/>
    <row r="44" s="172" customFormat="1" ht="22" customHeight="1" x14ac:dyDescent="0.55000000000000004"/>
    <row r="45" s="172" customFormat="1" ht="22" customHeight="1" x14ac:dyDescent="0.55000000000000004"/>
    <row r="46" s="172" customFormat="1" ht="22" customHeight="1" x14ac:dyDescent="0.55000000000000004"/>
    <row r="47" s="172" customFormat="1" ht="22" customHeight="1" x14ac:dyDescent="0.55000000000000004"/>
    <row r="48" s="172" customFormat="1" ht="22" customHeight="1" x14ac:dyDescent="0.55000000000000004"/>
    <row r="49" s="172" customFormat="1" ht="22" customHeight="1" x14ac:dyDescent="0.55000000000000004"/>
    <row r="50" s="172" customFormat="1" ht="22" customHeight="1" x14ac:dyDescent="0.55000000000000004"/>
    <row r="51" s="172" customFormat="1" ht="22" customHeight="1" x14ac:dyDescent="0.55000000000000004"/>
    <row r="52" s="172" customFormat="1" ht="22" customHeight="1" x14ac:dyDescent="0.55000000000000004"/>
    <row r="53" s="172" customFormat="1" ht="22" customHeight="1" x14ac:dyDescent="0.55000000000000004"/>
    <row r="54" s="172" customFormat="1" ht="22" customHeight="1" x14ac:dyDescent="0.55000000000000004"/>
    <row r="55" s="172" customFormat="1" ht="22" customHeight="1" x14ac:dyDescent="0.55000000000000004"/>
    <row r="56" s="172" customFormat="1" ht="22" customHeight="1" x14ac:dyDescent="0.55000000000000004"/>
    <row r="57" s="172" customFormat="1" ht="22" customHeight="1" x14ac:dyDescent="0.55000000000000004"/>
    <row r="58" s="172" customFormat="1" ht="22" customHeight="1" x14ac:dyDescent="0.55000000000000004"/>
    <row r="59" s="172" customFormat="1" ht="22" customHeight="1" x14ac:dyDescent="0.55000000000000004"/>
    <row r="60" s="172" customFormat="1" ht="22" customHeight="1" x14ac:dyDescent="0.55000000000000004"/>
    <row r="61" s="172" customFormat="1" ht="22" customHeight="1" x14ac:dyDescent="0.55000000000000004"/>
    <row r="62" s="172" customFormat="1" ht="22" customHeight="1" x14ac:dyDescent="0.55000000000000004"/>
    <row r="63" s="172" customFormat="1" ht="22" customHeight="1" x14ac:dyDescent="0.55000000000000004"/>
    <row r="64" s="172" customFormat="1" ht="22" customHeight="1" x14ac:dyDescent="0.55000000000000004"/>
    <row r="65" s="172" customFormat="1" ht="22" customHeight="1" x14ac:dyDescent="0.55000000000000004"/>
    <row r="66" s="172" customFormat="1" ht="22" customHeight="1" x14ac:dyDescent="0.55000000000000004"/>
    <row r="67" s="172" customFormat="1" ht="22" customHeight="1" x14ac:dyDescent="0.55000000000000004"/>
  </sheetData>
  <hyperlinks>
    <hyperlink ref="B3" location="Contents!A1" display="Contents" xr:uid="{25ADCE7D-5BDF-4936-B6C0-B8A9D2FF2E65}"/>
    <hyperlink ref="B4" location="Lists!A1" display="Lists" xr:uid="{04AA841A-3A40-41E3-AFE5-463775B9B6E9}"/>
    <hyperlink ref="B6" location="'Training programme data entry'!A1" display="Training programme data entry" xr:uid="{64351155-847D-4FA0-B088-DFA5379F9D27}"/>
    <hyperlink ref="B7" location="'Training programme data table'!A1" display="Training programme data table" xr:uid="{60F757C2-725E-4E36-93B9-5E40BF9D77FD}"/>
    <hyperlink ref="B8" location="'Business profitability model'!A1" display="Business profitability model" xr:uid="{8218E002-11C1-49B5-9993-1EBFA58BD2D9}"/>
    <hyperlink ref="B9" location="'Lifetime earnings model'!A1" display="Lifetime earnings model" xr:uid="{A1E9D985-5CE6-4F72-AD6A-006E724099BD}"/>
    <hyperlink ref="B10" location="'Delivery cost model'!A1" display="Delivery cost model" xr:uid="{97353A3C-81B1-45EA-96B2-308AABDAF39D}"/>
    <hyperlink ref="B13" location="'Training programme dashboard'!A1" display="Training programme dashboard" xr:uid="{10654E79-6A74-486B-A71A-7CB98574257D}"/>
    <hyperlink ref="B14" location="'Investment portfolio'!A1" display="Investment portfolio" xr:uid="{99AD376B-4E30-406E-9D46-679EF3B6C1BF}"/>
    <hyperlink ref="B11" location="'Outcome weighting'!A1" display="Outcome weighting" xr:uid="{52FAFAE9-D0DA-44C6-BB66-6A4B9EFD4890}"/>
    <hyperlink ref="B12" location="'Dashboard chart data'!A1" display="Dashboard chart data" xr:uid="{8FBB6016-780D-4D58-9ADE-5E91343993F5}"/>
    <hyperlink ref="B5" location="Improvements!A1" display="Improvements" xr:uid="{4470A476-DB27-4FBE-AAD0-AB1A426F192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2A6A3-B906-415F-8807-4923DFBCA532}">
  <sheetPr codeName="Sheet10">
    <tabColor theme="3"/>
  </sheetPr>
  <dimension ref="A1:EA87"/>
  <sheetViews>
    <sheetView topLeftCell="N34" zoomScaleNormal="100" workbookViewId="0">
      <selection activeCell="S6" sqref="S6"/>
    </sheetView>
  </sheetViews>
  <sheetFormatPr defaultColWidth="2.7890625" defaultRowHeight="15" customHeight="1" x14ac:dyDescent="0.5"/>
  <cols>
    <col min="1" max="1" width="2.7890625" style="3"/>
    <col min="2" max="2" width="34.1015625" style="3" customWidth="1"/>
    <col min="3" max="3" width="9.1015625" style="82" customWidth="1"/>
    <col min="4" max="4" width="2.7890625" style="3"/>
    <col min="5" max="5" width="34.1015625" style="3" customWidth="1"/>
    <col min="6" max="6" width="9" style="3" customWidth="1"/>
    <col min="7" max="7" width="2.7890625" style="3"/>
    <col min="8" max="8" width="34.1015625" style="3" customWidth="1"/>
    <col min="9" max="9" width="9" style="3" customWidth="1"/>
    <col min="10" max="10" width="2.7890625" style="3"/>
    <col min="11" max="11" width="34.1015625" style="3" customWidth="1"/>
    <col min="12" max="12" width="9" style="3" customWidth="1"/>
    <col min="13" max="13" width="2.7890625" style="192"/>
    <col min="14" max="14" width="45.7890625" style="192" customWidth="1"/>
    <col min="15" max="16" width="18.26171875" style="192" customWidth="1"/>
    <col min="17" max="17" width="15.5234375" style="192" customWidth="1"/>
    <col min="18" max="18" width="4.734375" style="192" customWidth="1"/>
    <col min="19" max="19" width="40.5234375" style="192" customWidth="1"/>
    <col min="20" max="20" width="25.1015625" style="192" customWidth="1"/>
    <col min="21" max="21" width="20.89453125" style="192" customWidth="1"/>
    <col min="22" max="22" width="17" style="192" customWidth="1"/>
    <col min="23" max="23" width="15.3671875" style="192" customWidth="1"/>
    <col min="24" max="24" width="13.26171875" style="192" customWidth="1"/>
    <col min="25" max="25" width="16.26171875" style="192" customWidth="1"/>
    <col min="26" max="26" width="19.7890625" style="192" customWidth="1"/>
    <col min="27" max="55" width="2.7890625" style="192"/>
    <col min="56" max="72" width="2.7890625" style="3"/>
    <col min="73" max="131" width="2.7890625" style="192"/>
    <col min="132" max="16384" width="2.7890625" style="3"/>
  </cols>
  <sheetData>
    <row r="1" spans="1:131" s="192" customFormat="1" ht="15" customHeight="1" x14ac:dyDescent="0.5">
      <c r="A1" s="57"/>
      <c r="B1" s="195" t="s">
        <v>449</v>
      </c>
      <c r="C1" s="19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  <c r="BN1" s="57"/>
      <c r="BO1" s="57"/>
      <c r="BP1" s="57"/>
      <c r="BQ1" s="57"/>
      <c r="BR1" s="57"/>
      <c r="BS1" s="57"/>
      <c r="BT1" s="57"/>
    </row>
    <row r="2" spans="1:131" ht="15" customHeight="1" x14ac:dyDescent="0.5"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</row>
    <row r="3" spans="1:131" ht="15" customHeight="1" x14ac:dyDescent="0.5">
      <c r="B3" s="178" t="s">
        <v>230</v>
      </c>
      <c r="E3" s="178" t="s">
        <v>227</v>
      </c>
      <c r="H3" s="178" t="s">
        <v>451</v>
      </c>
      <c r="K3" s="178" t="s">
        <v>454</v>
      </c>
      <c r="M3" s="3"/>
      <c r="N3" s="178" t="s">
        <v>469</v>
      </c>
      <c r="O3" s="3"/>
      <c r="P3" s="3"/>
      <c r="Q3" s="3"/>
      <c r="R3" s="3"/>
      <c r="S3" s="224" t="s">
        <v>483</v>
      </c>
      <c r="T3" s="224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</row>
    <row r="4" spans="1:131" ht="47.05" customHeight="1" x14ac:dyDescent="0.5">
      <c r="M4" s="3"/>
      <c r="N4" s="3"/>
      <c r="O4" s="3"/>
      <c r="P4" s="3"/>
      <c r="Q4" s="3"/>
      <c r="R4" s="3"/>
      <c r="S4" s="3" t="s">
        <v>557</v>
      </c>
      <c r="T4" s="3" t="s">
        <v>318</v>
      </c>
      <c r="U4" s="225" t="s">
        <v>473</v>
      </c>
      <c r="V4" s="225" t="s">
        <v>475</v>
      </c>
      <c r="W4" s="225" t="s">
        <v>478</v>
      </c>
      <c r="X4" s="225" t="s">
        <v>404</v>
      </c>
      <c r="Y4" s="225" t="s">
        <v>480</v>
      </c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</row>
    <row r="5" spans="1:131" ht="15" customHeight="1" x14ac:dyDescent="0.5">
      <c r="B5" s="3" t="str" cm="1">
        <f t="array" ref="B5:B19">industries</f>
        <v>Apiculture</v>
      </c>
      <c r="C5" s="198" cm="1">
        <f t="array" ref="C5">INDEX(training_programme_data_table,MATCH('Training programme dashboard'!$M$4,training_programme_list,0),_xlfn.XLOOKUP($B5,'Training programme data entry'!$A:$A,'Training programme data entry'!$B:$B))</f>
        <v>0</v>
      </c>
      <c r="E5" s="3" t="str" cm="1">
        <f t="array" ref="E5:E8">roles</f>
        <v>Strategic manager</v>
      </c>
      <c r="F5" s="196" cm="1">
        <f t="array" ref="F5">INDEX(training_programme_data_table,MATCH('Training programme dashboard'!$M$4,training_programme_list,0),_xlfn.XLOOKUP($E5,'Training programme data entry'!$A:$A,'Training programme data entry'!$B:$B))</f>
        <v>0</v>
      </c>
      <c r="H5" s="3" t="str" cm="1">
        <f t="array" ref="H5:H9">industry_experience</f>
        <v>Less than 1 year</v>
      </c>
      <c r="I5" s="196" cm="1">
        <f t="array" ref="I5">INDEX(training_programme_data_table,MATCH('Training programme dashboard'!$M$4,training_programme_list,0),_xlfn.XLOOKUP($H5,'Training programme data entry'!$A:$A,'Training programme data entry'!$B:$B))</f>
        <v>0</v>
      </c>
      <c r="K5" s="3" t="str" cm="1">
        <f t="array" ref="K5:K25">prior_training</f>
        <v>No prior tertiary qualification</v>
      </c>
      <c r="L5" s="196" cm="1">
        <f t="array" ref="L5">INDEX(training_programme_data_table,MATCH('Training programme dashboard'!$M$4,training_programme_list,0),_xlfn.XLOOKUP($K5,'Training programme data entry'!$A:$A,'Training programme data entry'!$B:$B))</f>
        <v>0.3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</row>
    <row r="6" spans="1:131" ht="15" customHeight="1" x14ac:dyDescent="0.5">
      <c r="B6" s="3" t="str">
        <v>Arable</v>
      </c>
      <c r="C6" s="198" cm="1">
        <f t="array" ref="C6">INDEX(training_programme_data_table,MATCH('Training programme dashboard'!$M$4,training_programme_list,0),_xlfn.XLOOKUP($B6,'Training programme data entry'!$A:$A,'Training programme data entry'!$B:$B))</f>
        <v>0.1</v>
      </c>
      <c r="E6" s="3" t="str">
        <v>Manager</v>
      </c>
      <c r="F6" s="196" cm="1">
        <f t="array" ref="F6">INDEX(training_programme_data_table,MATCH('Training programme dashboard'!$M$4,training_programme_list,0),_xlfn.XLOOKUP($E6,'Training programme data entry'!$A:$A,'Training programme data entry'!$B:$B))</f>
        <v>0.1</v>
      </c>
      <c r="H6" s="3" t="str">
        <v>1 to 2 years</v>
      </c>
      <c r="I6" s="196" cm="1">
        <f t="array" ref="I6">INDEX(training_programme_data_table,MATCH('Training programme dashboard'!$M$4,training_programme_list,0),_xlfn.XLOOKUP($H6,'Training programme data entry'!$A:$A,'Training programme data entry'!$B:$B))</f>
        <v>0.3</v>
      </c>
      <c r="K6" s="3" t="str">
        <v>Industry relevant - L10</v>
      </c>
      <c r="L6" s="196" cm="1">
        <f t="array" ref="L6">INDEX(training_programme_data_table,MATCH('Training programme dashboard'!$M$4,training_programme_list,0),_xlfn.XLOOKUP($K6,'Training programme data entry'!$A:$A,'Training programme data entry'!$B:$B))</f>
        <v>0</v>
      </c>
      <c r="M6" s="3"/>
      <c r="N6" s="3" t="s">
        <v>472</v>
      </c>
      <c r="O6" s="210" t="str" cm="1">
        <f t="array" ref="O6">INDEX(training_programme_data_table,MATCH('Training programme dashboard'!$M$4,training_programme_list,0),_xlfn.XLOOKUP(N6,'Training programme data entry'!$A:$A,'Training programme data entry'!$B:$B))</f>
        <v>3,000 to 10,000</v>
      </c>
      <c r="P6" s="210"/>
      <c r="Q6" s="3"/>
      <c r="R6" s="3"/>
      <c r="S6" s="3" t="str" cm="1">
        <f t="array" ref="S6:S43">training_programme_list</f>
        <v>Reference training programme</v>
      </c>
      <c r="T6" s="208" t="str" cm="1">
        <f t="array" ref="T6">INDEX(training_programme_data_table,MATCH($S6,training_programme_list,0),_xlfn.XLOOKUP(T$4,'Training programme data entry'!$A:$A,'Training programme data entry'!$B:$B))</f>
        <v>Reference</v>
      </c>
      <c r="U6" s="208" cm="1">
        <f t="array" ref="U6">INDEX(training_programme_data_table,MATCH($S6,training_programme_list,0),_xlfn.XLOOKUP(U$4,'Training programme data entry'!$A:$A,'Training programme data entry'!$B:$B))</f>
        <v>423371.60771265702</v>
      </c>
      <c r="V6" s="208" cm="1">
        <f t="array" ref="V6">INDEX(training_programme_data_table,MATCH($S6,training_programme_list,0),_xlfn.XLOOKUP(V$4,'Training programme data entry'!$A:$A,'Training programme data entry'!$B:$B))</f>
        <v>102812.5</v>
      </c>
      <c r="W6" s="207">
        <f>U6*'Outcome weighting'!$A$32 + 'Dashboard chart data'!V6*'Outcome weighting'!$B$32</f>
        <v>526184.10771265696</v>
      </c>
      <c r="X6" s="208" cm="1">
        <f t="array" ref="X6">INDEX(training_programme_data_table,MATCH($S6,training_programme_list,0),_xlfn.XLOOKUP(X$4,'Training programme data entry'!$A:$A,'Training programme data entry'!$B:$B))</f>
        <v>21447.047863043001</v>
      </c>
      <c r="Y6" s="208">
        <f>IFERROR(W6/X6,0)</f>
        <v>24.53410423069759</v>
      </c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</row>
    <row r="7" spans="1:131" ht="15" customHeight="1" x14ac:dyDescent="0.5">
      <c r="B7" s="3" t="str">
        <v>Dairy farming</v>
      </c>
      <c r="C7" s="198" cm="1">
        <f t="array" ref="C7">INDEX(training_programme_data_table,MATCH('Training programme dashboard'!$M$4,training_programme_list,0),_xlfn.XLOOKUP($B7,'Training programme data entry'!$A:$A,'Training programme data entry'!$B:$B))</f>
        <v>0.4</v>
      </c>
      <c r="E7" s="3" t="str">
        <v>Semi-autonomous</v>
      </c>
      <c r="F7" s="196" cm="1">
        <f t="array" ref="F7">INDEX(training_programme_data_table,MATCH('Training programme dashboard'!$M$4,training_programme_list,0),_xlfn.XLOOKUP($E7,'Training programme data entry'!$A:$A,'Training programme data entry'!$B:$B))</f>
        <v>0.5</v>
      </c>
      <c r="H7" s="3" t="str">
        <v>2 to 4 years</v>
      </c>
      <c r="I7" s="196" cm="1">
        <f t="array" ref="I7">INDEX(training_programme_data_table,MATCH('Training programme dashboard'!$M$4,training_programme_list,0),_xlfn.XLOOKUP($H7,'Training programme data entry'!$A:$A,'Training programme data entry'!$B:$B))</f>
        <v>0.5</v>
      </c>
      <c r="K7" s="3" t="str">
        <v>Industry relevant - L9</v>
      </c>
      <c r="L7" s="196" cm="1">
        <f t="array" ref="L7">INDEX(training_programme_data_table,MATCH('Training programme dashboard'!$M$4,training_programme_list,0),_xlfn.XLOOKUP($K7,'Training programme data entry'!$A:$A,'Training programme data entry'!$B:$B))</f>
        <v>0</v>
      </c>
      <c r="M7" s="3"/>
      <c r="N7" s="3" t="s">
        <v>444</v>
      </c>
      <c r="O7" s="210" cm="1">
        <f t="array" ref="O7">INDEX(training_programme_data_table,MATCH('Training programme dashboard'!$M$4,training_programme_list,0),_xlfn.XLOOKUP(N7,'Training programme data entry'!$A:$A,'Training programme data entry'!$B:$B))</f>
        <v>8.9035478774315102</v>
      </c>
      <c r="P7" s="3"/>
      <c r="Q7" s="3"/>
      <c r="R7" s="3"/>
      <c r="S7" s="3" t="str">
        <v>Business by the numbers</v>
      </c>
      <c r="T7" s="208" t="str" cm="1">
        <f t="array" ref="T7">INDEX(training_programme_data_table,MATCH($S7,training_programme_list,0),_xlfn.XLOOKUP(T$4,'Training programme data entry'!$A:$A,'Training programme data entry'!$B:$B))</f>
        <v>Dairy Training Limited</v>
      </c>
      <c r="U7" s="208" cm="1">
        <f t="array" ref="U7">INDEX(training_programme_data_table,MATCH($S7,training_programme_list,0),_xlfn.XLOOKUP(U$4,'Training programme data entry'!$A:$A,'Training programme data entry'!$B:$B))</f>
        <v>369295.85517025599</v>
      </c>
      <c r="V7" s="208" cm="1">
        <f t="array" ref="V7">INDEX(training_programme_data_table,MATCH($S7,training_programme_list,0),_xlfn.XLOOKUP(V$4,'Training programme data entry'!$A:$A,'Training programme data entry'!$B:$B))</f>
        <v>40332.526282504798</v>
      </c>
      <c r="W7" s="207">
        <f>U7*'Outcome weighting'!$A$32 + 'Dashboard chart data'!V7*'Outcome weighting'!$B$32</f>
        <v>409628.38145276078</v>
      </c>
      <c r="X7" s="208" cm="1">
        <f t="array" ref="X7">INDEX(training_programme_data_table,MATCH($S7,training_programme_list,0),_xlfn.XLOOKUP(X$4,'Training programme data entry'!$A:$A,'Training programme data entry'!$B:$B))</f>
        <v>2458.8354271080798</v>
      </c>
      <c r="Y7" s="208">
        <f t="shared" ref="Y7:Y43" si="0">IFERROR(W7/X7,0)</f>
        <v>166.59446864019634</v>
      </c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</row>
    <row r="8" spans="1:131" ht="15" customHeight="1" x14ac:dyDescent="0.5">
      <c r="B8" s="3" t="str">
        <v>Equine, dogs and racing</v>
      </c>
      <c r="C8" s="198" cm="1">
        <f t="array" ref="C8">INDEX(training_programme_data_table,MATCH('Training programme dashboard'!$M$4,training_programme_list,0),_xlfn.XLOOKUP($B8,'Training programme data entry'!$A:$A,'Training programme data entry'!$B:$B))</f>
        <v>0</v>
      </c>
      <c r="E8" s="3" t="str">
        <v>Managed</v>
      </c>
      <c r="F8" s="196" cm="1">
        <f t="array" ref="F8">INDEX(training_programme_data_table,MATCH('Training programme dashboard'!$M$4,training_programme_list,0),_xlfn.XLOOKUP($E8,'Training programme data entry'!$A:$A,'Training programme data entry'!$B:$B))</f>
        <v>0.4</v>
      </c>
      <c r="H8" s="3" t="str">
        <v>5 to 10 years</v>
      </c>
      <c r="I8" s="196" cm="1">
        <f t="array" ref="I8">INDEX(training_programme_data_table,MATCH('Training programme dashboard'!$M$4,training_programme_list,0),_xlfn.XLOOKUP($H8,'Training programme data entry'!$A:$A,'Training programme data entry'!$B:$B))</f>
        <v>0.2</v>
      </c>
      <c r="K8" s="3" t="str">
        <v>Industry relevant - L8</v>
      </c>
      <c r="L8" s="196" cm="1">
        <f t="array" ref="L8">INDEX(training_programme_data_table,MATCH('Training programme dashboard'!$M$4,training_programme_list,0),_xlfn.XLOOKUP($K8,'Training programme data entry'!$A:$A,'Training programme data entry'!$B:$B))</f>
        <v>0</v>
      </c>
      <c r="M8" s="3"/>
      <c r="N8" s="3"/>
      <c r="O8" s="3"/>
      <c r="P8" s="3"/>
      <c r="Q8" s="3"/>
      <c r="R8" s="3"/>
      <c r="S8" s="3" t="str">
        <v>Contract milking 101</v>
      </c>
      <c r="T8" s="208" t="str" cm="1">
        <f t="array" ref="T8">INDEX(training_programme_data_table,MATCH($S8,training_programme_list,0),_xlfn.XLOOKUP(T$4,'Training programme data entry'!$A:$A,'Training programme data entry'!$B:$B))</f>
        <v>Dairy Training Limited</v>
      </c>
      <c r="U8" s="208" cm="1">
        <f t="array" ref="U8">INDEX(training_programme_data_table,MATCH($S8,training_programme_list,0),_xlfn.XLOOKUP(U$4,'Training programme data entry'!$A:$A,'Training programme data entry'!$B:$B))</f>
        <v>155092.72287827701</v>
      </c>
      <c r="V8" s="208" cm="1">
        <f t="array" ref="V8">INDEX(training_programme_data_table,MATCH($S8,training_programme_list,0),_xlfn.XLOOKUP(V$4,'Training programme data entry'!$A:$A,'Training programme data entry'!$B:$B))</f>
        <v>41190.665139579403</v>
      </c>
      <c r="W8" s="207">
        <f>U8*'Outcome weighting'!$A$32 + 'Dashboard chart data'!V8*'Outcome weighting'!$B$32</f>
        <v>196283.3880178564</v>
      </c>
      <c r="X8" s="208" cm="1">
        <f t="array" ref="X8">INDEX(training_programme_data_table,MATCH($S8,training_programme_list,0),_xlfn.XLOOKUP(X$4,'Training programme data entry'!$A:$A,'Training programme data entry'!$B:$B))</f>
        <v>2410.6211413937899</v>
      </c>
      <c r="Y8" s="208">
        <f t="shared" si="0"/>
        <v>81.42440329896381</v>
      </c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</row>
    <row r="9" spans="1:131" ht="15" customHeight="1" x14ac:dyDescent="0.5">
      <c r="B9" s="3" t="str">
        <v>Forestry</v>
      </c>
      <c r="C9" s="198" cm="1">
        <f t="array" ref="C9">INDEX(training_programme_data_table,MATCH('Training programme dashboard'!$M$4,training_programme_list,0),_xlfn.XLOOKUP($B9,'Training programme data entry'!$A:$A,'Training programme data entry'!$B:$B))</f>
        <v>0</v>
      </c>
      <c r="H9" s="3" t="str">
        <v>10+ years</v>
      </c>
      <c r="I9" s="196" cm="1">
        <f t="array" ref="I9">INDEX(training_programme_data_table,MATCH('Training programme dashboard'!$M$4,training_programme_list,0),_xlfn.XLOOKUP($H9,'Training programme data entry'!$A:$A,'Training programme data entry'!$B:$B))</f>
        <v>0</v>
      </c>
      <c r="K9" s="3" t="str">
        <v>Industry relevant - L7</v>
      </c>
      <c r="L9" s="196" cm="1">
        <f t="array" ref="L9">INDEX(training_programme_data_table,MATCH('Training programme dashboard'!$M$4,training_programme_list,0),_xlfn.XLOOKUP($K9,'Training programme data entry'!$A:$A,'Training programme data entry'!$B:$B))</f>
        <v>0</v>
      </c>
      <c r="M9" s="3"/>
      <c r="N9" s="3"/>
      <c r="O9" s="181" t="s">
        <v>470</v>
      </c>
      <c r="P9" s="181" t="s">
        <v>482</v>
      </c>
      <c r="Q9" s="3" t="s">
        <v>477</v>
      </c>
      <c r="R9" s="3"/>
      <c r="S9" s="3" t="str">
        <v>Introduction to dairy farming</v>
      </c>
      <c r="T9" s="208" t="str" cm="1">
        <f t="array" ref="T9">INDEX(training_programme_data_table,MATCH($S9,training_programme_list,0),_xlfn.XLOOKUP(T$4,'Training programme data entry'!$A:$A,'Training programme data entry'!$B:$B))</f>
        <v>Dairy Training Limited</v>
      </c>
      <c r="U9" s="208" cm="1">
        <f t="array" ref="U9">INDEX(training_programme_data_table,MATCH($S9,training_programme_list,0),_xlfn.XLOOKUP(U$4,'Training programme data entry'!$A:$A,'Training programme data entry'!$B:$B))</f>
        <v>18882.941947429001</v>
      </c>
      <c r="V9" s="208" cm="1">
        <f t="array" ref="V9">INDEX(training_programme_data_table,MATCH($S9,training_programme_list,0),_xlfn.XLOOKUP(V$4,'Training programme data entry'!$A:$A,'Training programme data entry'!$B:$B))</f>
        <v>41171.738736225299</v>
      </c>
      <c r="W9" s="207">
        <f>U9*'Outcome weighting'!$A$32 + 'Dashboard chart data'!V9*'Outcome weighting'!$B$32</f>
        <v>60054.680683654296</v>
      </c>
      <c r="X9" s="208" cm="1">
        <f t="array" ref="X9">INDEX(training_programme_data_table,MATCH($S9,training_programme_list,0),_xlfn.XLOOKUP(X$4,'Training programme data entry'!$A:$A,'Training programme data entry'!$B:$B))</f>
        <v>8214.3419158930392</v>
      </c>
      <c r="Y9" s="208">
        <f t="shared" si="0"/>
        <v>7.310954583891986</v>
      </c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</row>
    <row r="10" spans="1:131" ht="15" customHeight="1" x14ac:dyDescent="0.5">
      <c r="B10" s="3" t="str">
        <v>Fruit</v>
      </c>
      <c r="C10" s="198" cm="1">
        <f t="array" ref="C10">INDEX(training_programme_data_table,MATCH('Training programme dashboard'!$M$4,training_programme_list,0),_xlfn.XLOOKUP($B10,'Training programme data entry'!$A:$A,'Training programme data entry'!$B:$B))</f>
        <v>0.2</v>
      </c>
      <c r="K10" s="3" t="str">
        <v>Industry relevant - L6</v>
      </c>
      <c r="L10" s="196" cm="1">
        <f t="array" ref="L10">INDEX(training_programme_data_table,MATCH('Training programme dashboard'!$M$4,training_programme_list,0),_xlfn.XLOOKUP($K10,'Training programme data entry'!$A:$A,'Training programme data entry'!$B:$B))</f>
        <v>0</v>
      </c>
      <c r="M10" s="3"/>
      <c r="N10" s="3" t="s">
        <v>473</v>
      </c>
      <c r="O10" s="208" cm="1">
        <f t="array" ref="O10">INDEX(training_programme_data_table,MATCH('Training programme dashboard'!$M$4,training_programme_list,0),_xlfn.XLOOKUP(N10,'Training programme data entry'!$A:$A,'Training programme data entry'!$B:$B))</f>
        <v>38871.455446285901</v>
      </c>
      <c r="P10" s="181" t="str">
        <f>_xlfn.XLOOKUP(O10,output_range_mid,output_range_range,0,1,1)</f>
        <v>30,000 to 100,000</v>
      </c>
      <c r="Q10" s="116">
        <v>1</v>
      </c>
      <c r="R10" s="3"/>
      <c r="S10" s="3" t="str">
        <v>BizStart</v>
      </c>
      <c r="T10" s="208" t="str" cm="1">
        <f t="array" ref="T10">INDEX(training_programme_data_table,MATCH($S10,training_programme_list,0),_xlfn.XLOOKUP(T$4,'Training programme data entry'!$A:$A,'Training programme data entry'!$B:$B))</f>
        <v>Dairy Training Limited</v>
      </c>
      <c r="U10" s="208" cm="1">
        <f t="array" ref="U10">INDEX(training_programme_data_table,MATCH($S10,training_programme_list,0),_xlfn.XLOOKUP(U$4,'Training programme data entry'!$A:$A,'Training programme data entry'!$B:$B))</f>
        <v>254789.13860097699</v>
      </c>
      <c r="V10" s="208" cm="1">
        <f t="array" ref="V10">INDEX(training_programme_data_table,MATCH($S10,training_programme_list,0),_xlfn.XLOOKUP(V$4,'Training programme data entry'!$A:$A,'Training programme data entry'!$B:$B))</f>
        <v>40332.526282504798</v>
      </c>
      <c r="W10" s="207">
        <f>U10*'Outcome weighting'!$A$32 + 'Dashboard chart data'!V10*'Outcome weighting'!$B$32</f>
        <v>295121.6648834818</v>
      </c>
      <c r="X10" s="208" cm="1">
        <f t="array" ref="X10">INDEX(training_programme_data_table,MATCH($S10,training_programme_list,0),_xlfn.XLOOKUP(X$4,'Training programme data entry'!$A:$A,'Training programme data entry'!$B:$B))</f>
        <v>3596.8360206714301</v>
      </c>
      <c r="Y10" s="208">
        <f t="shared" si="0"/>
        <v>82.050352917782092</v>
      </c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</row>
    <row r="11" spans="1:131" ht="15" customHeight="1" x14ac:dyDescent="0.5">
      <c r="B11" s="3" t="str">
        <v>Grapes and wine</v>
      </c>
      <c r="C11" s="198" cm="1">
        <f t="array" ref="C11">INDEX(training_programme_data_table,MATCH('Training programme dashboard'!$M$4,training_programme_list,0),_xlfn.XLOOKUP($B11,'Training programme data entry'!$A:$A,'Training programme data entry'!$B:$B))</f>
        <v>0.1</v>
      </c>
      <c r="K11" s="3" t="str">
        <v>Industry relevant - L5</v>
      </c>
      <c r="L11" s="196" cm="1">
        <f t="array" ref="L11">INDEX(training_programme_data_table,MATCH('Training programme dashboard'!$M$4,training_programme_list,0),_xlfn.XLOOKUP($K11,'Training programme data entry'!$A:$A,'Training programme data entry'!$B:$B))</f>
        <v>0</v>
      </c>
      <c r="M11" s="3"/>
      <c r="N11" s="3" t="s">
        <v>475</v>
      </c>
      <c r="O11" s="87" cm="1">
        <f t="array" ref="O11">INDEX(training_programme_data_table,MATCH('Training programme dashboard'!$M$4,training_programme_list,0),_xlfn.XLOOKUP($N11,'Training programme data entry'!$A:$A,'Training programme data entry'!$B:$B))</f>
        <v>102069.27315402401</v>
      </c>
      <c r="P11" s="181" t="str">
        <f>_xlfn.XLOOKUP(O11,output_range_mid,output_range_range,0,1,1)</f>
        <v>50,000 to 200,000</v>
      </c>
      <c r="Q11" s="116">
        <f>'Outcome weighting'!B32</f>
        <v>1</v>
      </c>
      <c r="R11" s="3"/>
      <c r="S11" s="3" t="str">
        <v>BizGrow</v>
      </c>
      <c r="T11" s="208" t="str" cm="1">
        <f t="array" ref="T11">INDEX(training_programme_data_table,MATCH($S11,training_programme_list,0),_xlfn.XLOOKUP(T$4,'Training programme data entry'!$A:$A,'Training programme data entry'!$B:$B))</f>
        <v>Dairy Training Limited</v>
      </c>
      <c r="U11" s="208" cm="1">
        <f t="array" ref="U11">INDEX(training_programme_data_table,MATCH($S11,training_programme_list,0),_xlfn.XLOOKUP(U$4,'Training programme data entry'!$A:$A,'Training programme data entry'!$B:$B))</f>
        <v>369470.21741725202</v>
      </c>
      <c r="V11" s="208" cm="1">
        <f t="array" ref="V11">INDEX(training_programme_data_table,MATCH($S11,training_programme_list,0),_xlfn.XLOOKUP(V$4,'Training programme data entry'!$A:$A,'Training programme data entry'!$B:$B))</f>
        <v>40332.526282504798</v>
      </c>
      <c r="W11" s="207">
        <f>U11*'Outcome weighting'!$A$32 + 'Dashboard chart data'!V11*'Outcome weighting'!$B$32</f>
        <v>409802.7436997568</v>
      </c>
      <c r="X11" s="208" cm="1">
        <f t="array" ref="X11">INDEX(training_programme_data_table,MATCH($S11,training_programme_list,0),_xlfn.XLOOKUP(X$4,'Training programme data entry'!$A:$A,'Training programme data entry'!$B:$B))</f>
        <v>3596.8360206714301</v>
      </c>
      <c r="Y11" s="208">
        <f t="shared" si="0"/>
        <v>113.93423034705316</v>
      </c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</row>
    <row r="12" spans="1:131" ht="15" customHeight="1" x14ac:dyDescent="0.5">
      <c r="B12" s="3" t="str">
        <v>Nursery, turf and gardening</v>
      </c>
      <c r="C12" s="198" cm="1">
        <f t="array" ref="C12">INDEX(training_programme_data_table,MATCH('Training programme dashboard'!$M$4,training_programme_list,0),_xlfn.XLOOKUP($B12,'Training programme data entry'!$A:$A,'Training programme data entry'!$B:$B))</f>
        <v>0</v>
      </c>
      <c r="K12" s="3" t="str">
        <v>Industry relevant - L4</v>
      </c>
      <c r="L12" s="196" cm="1">
        <f t="array" ref="L12">INDEX(training_programme_data_table,MATCH('Training programme dashboard'!$M$4,training_programme_list,0),_xlfn.XLOOKUP($K12,'Training programme data entry'!$A:$A,'Training programme data entry'!$B:$B))</f>
        <v>0</v>
      </c>
      <c r="M12" s="3"/>
      <c r="N12" s="3"/>
      <c r="O12" s="3"/>
      <c r="P12" s="181"/>
      <c r="Q12" s="3"/>
      <c r="R12" s="3"/>
      <c r="S12" s="3" t="str">
        <v>Farm Environment Planning</v>
      </c>
      <c r="T12" s="208" t="str" cm="1">
        <f t="array" ref="T12">INDEX(training_programme_data_table,MATCH($S12,training_programme_list,0),_xlfn.XLOOKUP(T$4,'Training programme data entry'!$A:$A,'Training programme data entry'!$B:$B))</f>
        <v>Dairy Training Limited</v>
      </c>
      <c r="U12" s="208" cm="1">
        <f t="array" ref="U12">INDEX(training_programme_data_table,MATCH($S12,training_programme_list,0),_xlfn.XLOOKUP(U$4,'Training programme data entry'!$A:$A,'Training programme data entry'!$B:$B))</f>
        <v>492903.174633983</v>
      </c>
      <c r="V12" s="208" cm="1">
        <f t="array" ref="V12">INDEX(training_programme_data_table,MATCH($S12,training_programme_list,0),_xlfn.XLOOKUP(V$4,'Training programme data entry'!$A:$A,'Training programme data entry'!$B:$B))</f>
        <v>41521.052248799198</v>
      </c>
      <c r="W12" s="207">
        <f>U12*'Outcome weighting'!$A$32 + 'Dashboard chart data'!V12*'Outcome weighting'!$B$32</f>
        <v>534424.22688278218</v>
      </c>
      <c r="X12" s="208" cm="1">
        <f t="array" ref="X12">INDEX(training_programme_data_table,MATCH($S12,training_programme_list,0),_xlfn.XLOOKUP(X$4,'Training programme data entry'!$A:$A,'Training programme data entry'!$B:$B))</f>
        <v>3937.4104553267698</v>
      </c>
      <c r="Y12" s="208">
        <f t="shared" si="0"/>
        <v>135.72987448128004</v>
      </c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</row>
    <row r="13" spans="1:131" ht="15" customHeight="1" x14ac:dyDescent="0.5">
      <c r="B13" s="3" t="str">
        <v>Poultry, pigs &amp; other livestock</v>
      </c>
      <c r="C13" s="198" cm="1">
        <f t="array" ref="C13">INDEX(training_programme_data_table,MATCH('Training programme dashboard'!$M$4,training_programme_list,0),_xlfn.XLOOKUP($B13,'Training programme data entry'!$A:$A,'Training programme data entry'!$B:$B))</f>
        <v>0</v>
      </c>
      <c r="K13" s="3" t="str">
        <v>Industry relevant - L3</v>
      </c>
      <c r="L13" s="196" cm="1">
        <f t="array" ref="L13">INDEX(training_programme_data_table,MATCH('Training programme dashboard'!$M$4,training_programme_list,0),_xlfn.XLOOKUP($K13,'Training programme data entry'!$A:$A,'Training programme data entry'!$B:$B))</f>
        <v>0.2</v>
      </c>
      <c r="M13" s="3"/>
      <c r="N13" s="3"/>
      <c r="O13" s="3"/>
      <c r="P13" s="3"/>
      <c r="Q13" s="3"/>
      <c r="R13" s="3"/>
      <c r="S13" s="3" t="str">
        <v>New Zealand Apprenticeship in Agriculture - Dairy Farming</v>
      </c>
      <c r="T13" s="208" t="str" cm="1">
        <f t="array" ref="T13">INDEX(training_programme_data_table,MATCH($S13,training_programme_list,0),_xlfn.XLOOKUP(T$4,'Training programme data entry'!$A:$A,'Training programme data entry'!$B:$B))</f>
        <v>Primary ITO</v>
      </c>
      <c r="U13" s="208" cm="1">
        <f t="array" ref="U13">INDEX(training_programme_data_table,MATCH($S13,training_programme_list,0),_xlfn.XLOOKUP(U$4,'Training programme data entry'!$A:$A,'Training programme data entry'!$B:$B))</f>
        <v>61642.513217021798</v>
      </c>
      <c r="V13" s="208" cm="1">
        <f t="array" ref="V13">INDEX(training_programme_data_table,MATCH($S13,training_programme_list,0),_xlfn.XLOOKUP(V$4,'Training programme data entry'!$A:$A,'Training programme data entry'!$B:$B))</f>
        <v>87974.145682151706</v>
      </c>
      <c r="W13" s="207">
        <f>U13*'Outcome weighting'!$A$32 + 'Dashboard chart data'!V13*'Outcome weighting'!$B$32</f>
        <v>149616.65889917349</v>
      </c>
      <c r="X13" s="208" cm="1">
        <f t="array" ref="X13">INDEX(training_programme_data_table,MATCH($S13,training_programme_list,0),_xlfn.XLOOKUP(X$4,'Training programme data entry'!$A:$A,'Training programme data entry'!$B:$B))</f>
        <v>10860</v>
      </c>
      <c r="Y13" s="208">
        <f t="shared" si="0"/>
        <v>13.776856252225921</v>
      </c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</row>
    <row r="14" spans="1:131" ht="15" customHeight="1" x14ac:dyDescent="0.5">
      <c r="B14" s="3" t="str">
        <v>Seafood - production</v>
      </c>
      <c r="C14" s="198" cm="1">
        <f t="array" ref="C14">INDEX(training_programme_data_table,MATCH('Training programme dashboard'!$M$4,training_programme_list,0),_xlfn.XLOOKUP($B14,'Training programme data entry'!$A:$A,'Training programme data entry'!$B:$B))</f>
        <v>0</v>
      </c>
      <c r="K14" s="3" t="str">
        <v>Industry relevant - L2</v>
      </c>
      <c r="L14" s="196" cm="1">
        <f t="array" ref="L14">INDEX(training_programme_data_table,MATCH('Training programme dashboard'!$M$4,training_programme_list,0),_xlfn.XLOOKUP($K14,'Training programme data entry'!$A:$A,'Training programme data entry'!$B:$B))</f>
        <v>0.1</v>
      </c>
      <c r="M14" s="3"/>
      <c r="N14" s="3" t="s">
        <v>478</v>
      </c>
      <c r="O14" s="207">
        <f>SUMPRODUCT(O10:O11,Q10:Q11)</f>
        <v>140940.7286003099</v>
      </c>
      <c r="P14" s="207"/>
      <c r="Q14" s="3"/>
      <c r="R14" s="3"/>
      <c r="S14" s="3" t="str">
        <v>New Zealand Apprenticeship in Fruit Production</v>
      </c>
      <c r="T14" s="208" t="str" cm="1">
        <f t="array" ref="T14">INDEX(training_programme_data_table,MATCH($S14,training_programme_list,0),_xlfn.XLOOKUP(T$4,'Training programme data entry'!$A:$A,'Training programme data entry'!$B:$B))</f>
        <v>Primary ITO</v>
      </c>
      <c r="U14" s="208" cm="1">
        <f t="array" ref="U14">INDEX(training_programme_data_table,MATCH($S14,training_programme_list,0),_xlfn.XLOOKUP(U$4,'Training programme data entry'!$A:$A,'Training programme data entry'!$B:$B))</f>
        <v>26278.941657624298</v>
      </c>
      <c r="V14" s="208" cm="1">
        <f t="array" ref="V14">INDEX(training_programme_data_table,MATCH($S14,training_programme_list,0),_xlfn.XLOOKUP(V$4,'Training programme data entry'!$A:$A,'Training programme data entry'!$B:$B))</f>
        <v>102069.27315402401</v>
      </c>
      <c r="W14" s="207">
        <f>U14*'Outcome weighting'!$A$32 + 'Dashboard chart data'!V14*'Outcome weighting'!$B$32</f>
        <v>128348.2148116483</v>
      </c>
      <c r="X14" s="208" cm="1">
        <f t="array" ref="X14">INDEX(training_programme_data_table,MATCH($S14,training_programme_list,0),_xlfn.XLOOKUP(X$4,'Training programme data entry'!$A:$A,'Training programme data entry'!$B:$B))</f>
        <v>15090</v>
      </c>
      <c r="Y14" s="208">
        <f t="shared" si="0"/>
        <v>8.5055145667096284</v>
      </c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</row>
    <row r="15" spans="1:131" ht="15" customHeight="1" x14ac:dyDescent="0.5">
      <c r="B15" s="3" t="str">
        <v>Seafood - processing</v>
      </c>
      <c r="C15" s="198" cm="1">
        <f t="array" ref="C15">INDEX(training_programme_data_table,MATCH('Training programme dashboard'!$M$4,training_programme_list,0),_xlfn.XLOOKUP($B15,'Training programme data entry'!$A:$A,'Training programme data entry'!$B:$B))</f>
        <v>0</v>
      </c>
      <c r="K15" s="3" t="str">
        <v>Industry relevant - L1</v>
      </c>
      <c r="L15" s="196" cm="1">
        <f t="array" ref="L15">INDEX(training_programme_data_table,MATCH('Training programme dashboard'!$M$4,training_programme_list,0),_xlfn.XLOOKUP($K15,'Training programme data entry'!$A:$A,'Training programme data entry'!$B:$B))</f>
        <v>0</v>
      </c>
      <c r="M15" s="3"/>
      <c r="N15" s="3" t="s">
        <v>479</v>
      </c>
      <c r="O15" s="181" t="str">
        <f>_xlfn.XLOOKUP(O14,output_range_mid,output_range_range,0,1,1)</f>
        <v>50,000 to 200,000</v>
      </c>
      <c r="P15" s="181"/>
      <c r="Q15" s="3"/>
      <c r="R15" s="3"/>
      <c r="S15" s="3" t="str">
        <v>Assist with Milk Harvesting and Optimising Milk Quality – Micro-credential</v>
      </c>
      <c r="T15" s="208" t="str" cm="1">
        <f t="array" ref="T15">INDEX(training_programme_data_table,MATCH($S15,training_programme_list,0),_xlfn.XLOOKUP(T$4,'Training programme data entry'!$A:$A,'Training programme data entry'!$B:$B))</f>
        <v>Primary ITO</v>
      </c>
      <c r="U15" s="208" cm="1">
        <f t="array" ref="U15">INDEX(training_programme_data_table,MATCH($S15,training_programme_list,0),_xlfn.XLOOKUP(U$4,'Training programme data entry'!$A:$A,'Training programme data entry'!$B:$B))</f>
        <v>20575.158031295901</v>
      </c>
      <c r="V15" s="208" cm="1">
        <f t="array" ref="V15">INDEX(training_programme_data_table,MATCH($S15,training_programme_list,0),_xlfn.XLOOKUP(V$4,'Training programme data entry'!$A:$A,'Training programme data entry'!$B:$B))</f>
        <v>67256.4366575022</v>
      </c>
      <c r="W15" s="207">
        <f>U15*'Outcome weighting'!$A$32 + 'Dashboard chart data'!V15*'Outcome weighting'!$B$32</f>
        <v>87831.594688798097</v>
      </c>
      <c r="X15" s="208" cm="1">
        <f t="array" ref="X15">INDEX(training_programme_data_table,MATCH($S15,training_programme_list,0),_xlfn.XLOOKUP(X$4,'Training programme data entry'!$A:$A,'Training programme data entry'!$B:$B))</f>
        <v>2632.6666666666702</v>
      </c>
      <c r="Y15" s="208">
        <f t="shared" si="0"/>
        <v>33.362216265686747</v>
      </c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</row>
    <row r="16" spans="1:131" ht="15" customHeight="1" x14ac:dyDescent="0.5">
      <c r="B16" s="3" t="str">
        <v>Sheep, beef and deer farming</v>
      </c>
      <c r="C16" s="198" cm="1">
        <f t="array" ref="C16">INDEX(training_programme_data_table,MATCH('Training programme dashboard'!$M$4,training_programme_list,0),_xlfn.XLOOKUP($B16,'Training programme data entry'!$A:$A,'Training programme data entry'!$B:$B))</f>
        <v>0.1</v>
      </c>
      <c r="K16" s="3" t="str">
        <v>Other - L10</v>
      </c>
      <c r="L16" s="196" cm="1">
        <f t="array" ref="L16">INDEX(training_programme_data_table,MATCH('Training programme dashboard'!$M$4,training_programme_list,0),_xlfn.XLOOKUP($K16,'Training programme data entry'!$A:$A,'Training programme data entry'!$B:$B))</f>
        <v>0</v>
      </c>
      <c r="M16" s="3"/>
      <c r="N16" s="3"/>
      <c r="O16" s="3"/>
      <c r="P16" s="3"/>
      <c r="Q16" s="3"/>
      <c r="R16" s="3"/>
      <c r="S16" s="3" t="str">
        <v>Livestock Feed Supply and Demand – Micro-credential</v>
      </c>
      <c r="T16" s="208" t="str" cm="1">
        <f t="array" ref="T16">INDEX(training_programme_data_table,MATCH($S16,training_programme_list,0),_xlfn.XLOOKUP(T$4,'Training programme data entry'!$A:$A,'Training programme data entry'!$B:$B))</f>
        <v>Primary ITO</v>
      </c>
      <c r="U16" s="208" cm="1">
        <f t="array" ref="U16">INDEX(training_programme_data_table,MATCH($S16,training_programme_list,0),_xlfn.XLOOKUP(U$4,'Training programme data entry'!$A:$A,'Training programme data entry'!$B:$B))</f>
        <v>19098.997956797499</v>
      </c>
      <c r="V16" s="208" cm="1">
        <f t="array" ref="V16">INDEX(training_programme_data_table,MATCH($S16,training_programme_list,0),_xlfn.XLOOKUP(V$4,'Training programme data entry'!$A:$A,'Training programme data entry'!$B:$B))</f>
        <v>67256.4366575022</v>
      </c>
      <c r="W16" s="207">
        <f>U16*'Outcome weighting'!$A$32 + 'Dashboard chart data'!V16*'Outcome weighting'!$B$32</f>
        <v>86355.434614299695</v>
      </c>
      <c r="X16" s="208" cm="1">
        <f t="array" ref="X16">INDEX(training_programme_data_table,MATCH($S16,training_programme_list,0),_xlfn.XLOOKUP(X$4,'Training programme data entry'!$A:$A,'Training programme data entry'!$B:$B))</f>
        <v>3890</v>
      </c>
      <c r="Y16" s="208">
        <f t="shared" si="0"/>
        <v>22.199340517814832</v>
      </c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</row>
    <row r="17" spans="2:131" ht="15" customHeight="1" x14ac:dyDescent="0.5">
      <c r="B17" s="3" t="str">
        <v>Support services</v>
      </c>
      <c r="C17" s="198" cm="1">
        <f t="array" ref="C17">INDEX(training_programme_data_table,MATCH('Training programme dashboard'!$M$4,training_programme_list,0),_xlfn.XLOOKUP($B17,'Training programme data entry'!$A:$A,'Training programme data entry'!$B:$B))</f>
        <v>0</v>
      </c>
      <c r="K17" s="3" t="str">
        <v>Other - L9</v>
      </c>
      <c r="L17" s="196" cm="1">
        <f t="array" ref="L17">INDEX(training_programme_data_table,MATCH('Training programme dashboard'!$M$4,training_programme_list,0),_xlfn.XLOOKUP($K17,'Training programme data entry'!$A:$A,'Training programme data entry'!$B:$B))</f>
        <v>0</v>
      </c>
      <c r="M17" s="3"/>
      <c r="N17" s="3" t="s">
        <v>404</v>
      </c>
      <c r="O17" s="87" cm="1">
        <f t="array" ref="O17">INDEX(training_programme_data_table,MATCH('Training programme dashboard'!$M$4,training_programme_list,0),_xlfn.XLOOKUP($N17,'Training programme data entry'!$A:$A,'Training programme data entry'!$B:$B))</f>
        <v>15090</v>
      </c>
      <c r="P17" s="87"/>
      <c r="Q17" s="3"/>
      <c r="R17" s="3"/>
      <c r="S17" s="3" t="str">
        <v>Farm Environment Planning Micro-credential</v>
      </c>
      <c r="T17" s="208" t="str" cm="1">
        <f t="array" ref="T17">INDEX(training_programme_data_table,MATCH($S17,training_programme_list,0),_xlfn.XLOOKUP(T$4,'Training programme data entry'!$A:$A,'Training programme data entry'!$B:$B))</f>
        <v>Primary ITO</v>
      </c>
      <c r="U17" s="208" cm="1">
        <f t="array" ref="U17">INDEX(training_programme_data_table,MATCH($S17,training_programme_list,0),_xlfn.XLOOKUP(U$4,'Training programme data entry'!$A:$A,'Training programme data entry'!$B:$B))</f>
        <v>274888.62978196301</v>
      </c>
      <c r="V17" s="208" cm="1">
        <f t="array" ref="V17">INDEX(training_programme_data_table,MATCH($S17,training_programme_list,0),_xlfn.XLOOKUP(V$4,'Training programme data entry'!$A:$A,'Training programme data entry'!$B:$B))</f>
        <v>33499.087476505803</v>
      </c>
      <c r="W17" s="207">
        <f>U17*'Outcome weighting'!$A$32 + 'Dashboard chart data'!V17*'Outcome weighting'!$B$32</f>
        <v>308387.71725846879</v>
      </c>
      <c r="X17" s="208" cm="1">
        <f t="array" ref="X17">INDEX(training_programme_data_table,MATCH($S17,training_programme_list,0),_xlfn.XLOOKUP(X$4,'Training programme data entry'!$A:$A,'Training programme data entry'!$B:$B))</f>
        <v>1546.6666666666699</v>
      </c>
      <c r="Y17" s="208">
        <f t="shared" si="0"/>
        <v>199.38861029642337</v>
      </c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</row>
    <row r="18" spans="2:131" ht="15" customHeight="1" x14ac:dyDescent="0.5">
      <c r="B18" s="3" t="str">
        <v>Vegetables</v>
      </c>
      <c r="C18" s="198" cm="1">
        <f t="array" ref="C18">INDEX(training_programme_data_table,MATCH('Training programme dashboard'!$M$4,training_programme_list,0),_xlfn.XLOOKUP($B18,'Training programme data entry'!$A:$A,'Training programme data entry'!$B:$B))</f>
        <v>0.1</v>
      </c>
      <c r="K18" s="3" t="str">
        <v>Other - L8</v>
      </c>
      <c r="L18" s="196" cm="1">
        <f t="array" ref="L18">INDEX(training_programme_data_table,MATCH('Training programme dashboard'!$M$4,training_programme_list,0),_xlfn.XLOOKUP($K18,'Training programme data entry'!$A:$A,'Training programme data entry'!$B:$B))</f>
        <v>0</v>
      </c>
      <c r="M18" s="3"/>
      <c r="N18" s="3" t="s">
        <v>480</v>
      </c>
      <c r="O18" s="209">
        <f>O14/O17</f>
        <v>9.3400085222206695</v>
      </c>
      <c r="P18" s="209"/>
      <c r="Q18" s="3"/>
      <c r="R18" s="3"/>
      <c r="S18" s="3" t="str">
        <v>Managing milk harvesting – Micro-credential</v>
      </c>
      <c r="T18" s="208" t="str" cm="1">
        <f t="array" ref="T18">INDEX(training_programme_data_table,MATCH($S18,training_programme_list,0),_xlfn.XLOOKUP(T$4,'Training programme data entry'!$A:$A,'Training programme data entry'!$B:$B))</f>
        <v>Primary ITO</v>
      </c>
      <c r="U18" s="208" cm="1">
        <f t="array" ref="U18">INDEX(training_programme_data_table,MATCH($S18,training_programme_list,0),_xlfn.XLOOKUP(U$4,'Training programme data entry'!$A:$A,'Training programme data entry'!$B:$B))</f>
        <v>157056.45235590701</v>
      </c>
      <c r="V18" s="208" cm="1">
        <f t="array" ref="V18">INDEX(training_programme_data_table,MATCH($S18,training_programme_list,0),_xlfn.XLOOKUP(V$4,'Training programme data entry'!$A:$A,'Training programme data entry'!$B:$B))</f>
        <v>33689.565960607797</v>
      </c>
      <c r="W18" s="207">
        <f>U18*'Outcome weighting'!$A$32 + 'Dashboard chart data'!V18*'Outcome weighting'!$B$32</f>
        <v>190746.01831651479</v>
      </c>
      <c r="X18" s="208" cm="1">
        <f t="array" ref="X18">INDEX(training_programme_data_table,MATCH($S18,training_programme_list,0),_xlfn.XLOOKUP(X$4,'Training programme data entry'!$A:$A,'Training programme data entry'!$B:$B))</f>
        <v>1488.6666666666699</v>
      </c>
      <c r="Y18" s="208">
        <f t="shared" si="0"/>
        <v>128.13212157401324</v>
      </c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</row>
    <row r="19" spans="2:131" ht="15" customHeight="1" x14ac:dyDescent="0.5">
      <c r="B19" s="3" t="str">
        <v>Veterinary</v>
      </c>
      <c r="C19" s="198" cm="1">
        <f t="array" ref="C19">INDEX(training_programme_data_table,MATCH('Training programme dashboard'!$M$4,training_programme_list,0),_xlfn.XLOOKUP($B19,'Training programme data entry'!$A:$A,'Training programme data entry'!$B:$B))</f>
        <v>0</v>
      </c>
      <c r="K19" s="3" t="str">
        <v>Other - L7</v>
      </c>
      <c r="L19" s="196" cm="1">
        <f t="array" ref="L19">INDEX(training_programme_data_table,MATCH('Training programme dashboard'!$M$4,training_programme_list,0),_xlfn.XLOOKUP($K19,'Training programme data entry'!$A:$A,'Training programme data entry'!$B:$B))</f>
        <v>0.05</v>
      </c>
      <c r="M19" s="3"/>
      <c r="N19" s="3" t="s">
        <v>481</v>
      </c>
      <c r="O19" s="181" t="str">
        <f>_xlfn.XLOOKUP(O18,output_range_mid,output_range_range,0,1,1)</f>
        <v>5 to 20</v>
      </c>
      <c r="P19" s="181"/>
      <c r="Q19" s="3"/>
      <c r="R19" s="3"/>
      <c r="S19" s="3" t="str">
        <v>Dummy 1</v>
      </c>
      <c r="T19" s="208" t="str" cm="1">
        <f t="array" ref="T19">INDEX(training_programme_data_table,MATCH($S19,training_programme_list,0),_xlfn.XLOOKUP(T$4,'Training programme data entry'!$A:$A,'Training programme data entry'!$B:$B))</f>
        <v>Dummy</v>
      </c>
      <c r="U19" s="208" cm="1">
        <f t="array" ref="U19">INDEX(training_programme_data_table,MATCH($S19,training_programme_list,0),_xlfn.XLOOKUP(U$4,'Training programme data entry'!$A:$A,'Training programme data entry'!$B:$B))</f>
        <v>0</v>
      </c>
      <c r="V19" s="208" cm="1">
        <f t="array" ref="V19">INDEX(training_programme_data_table,MATCH($S19,training_programme_list,0),_xlfn.XLOOKUP(V$4,'Training programme data entry'!$A:$A,'Training programme data entry'!$B:$B))</f>
        <v>0</v>
      </c>
      <c r="W19" s="207">
        <f>U19*'Outcome weighting'!$A$32 + 'Dashboard chart data'!V19*'Outcome weighting'!$B$32</f>
        <v>0</v>
      </c>
      <c r="X19" s="208" cm="1">
        <f t="array" ref="X19">INDEX(training_programme_data_table,MATCH($S19,training_programme_list,0),_xlfn.XLOOKUP(X$4,'Training programme data entry'!$A:$A,'Training programme data entry'!$B:$B))</f>
        <v>0</v>
      </c>
      <c r="Y19" s="208">
        <f t="shared" si="0"/>
        <v>0</v>
      </c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</row>
    <row r="20" spans="2:131" ht="15" customHeight="1" x14ac:dyDescent="0.5">
      <c r="K20" s="3" t="str">
        <v>Other - L6</v>
      </c>
      <c r="L20" s="196" cm="1">
        <f t="array" ref="L20">INDEX(training_programme_data_table,MATCH('Training programme dashboard'!$M$4,training_programme_list,0),_xlfn.XLOOKUP($K20,'Training programme data entry'!$A:$A,'Training programme data entry'!$B:$B))</f>
        <v>0</v>
      </c>
      <c r="M20" s="3"/>
      <c r="N20" s="3"/>
      <c r="O20" s="3"/>
      <c r="P20" s="3"/>
      <c r="Q20" s="3"/>
      <c r="R20" s="3"/>
      <c r="S20" s="3" t="str">
        <v>Dummy 2</v>
      </c>
      <c r="T20" s="208" t="str" cm="1">
        <f t="array" ref="T20">INDEX(training_programme_data_table,MATCH($S20,training_programme_list,0),_xlfn.XLOOKUP(T$4,'Training programme data entry'!$A:$A,'Training programme data entry'!$B:$B))</f>
        <v>Dummy</v>
      </c>
      <c r="U20" s="208" cm="1">
        <f t="array" ref="U20">INDEX(training_programme_data_table,MATCH($S20,training_programme_list,0),_xlfn.XLOOKUP(U$4,'Training programme data entry'!$A:$A,'Training programme data entry'!$B:$B))</f>
        <v>0</v>
      </c>
      <c r="V20" s="208" cm="1">
        <f t="array" ref="V20">INDEX(training_programme_data_table,MATCH($S20,training_programme_list,0),_xlfn.XLOOKUP(V$4,'Training programme data entry'!$A:$A,'Training programme data entry'!$B:$B))</f>
        <v>0</v>
      </c>
      <c r="W20" s="207">
        <f>U20*'Outcome weighting'!$A$32 + 'Dashboard chart data'!V20*'Outcome weighting'!$B$32</f>
        <v>0</v>
      </c>
      <c r="X20" s="208" cm="1">
        <f t="array" ref="X20">INDEX(training_programme_data_table,MATCH($S20,training_programme_list,0),_xlfn.XLOOKUP(X$4,'Training programme data entry'!$A:$A,'Training programme data entry'!$B:$B))</f>
        <v>0</v>
      </c>
      <c r="Y20" s="208">
        <f t="shared" si="0"/>
        <v>0</v>
      </c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</row>
    <row r="21" spans="2:131" ht="15" customHeight="1" x14ac:dyDescent="0.5">
      <c r="B21" s="3" t="str" cm="1">
        <f t="array" ref="B21:C35">_xlfn._xlws.SORT('Dashboard chart data'!$B$5:$C$19,2,-1)</f>
        <v>Dairy farming</v>
      </c>
      <c r="C21" s="198">
        <v>0.4</v>
      </c>
      <c r="E21" s="3" t="str" cm="1">
        <f t="array" ref="E21:F24">_xlfn._xlws.SORT($E$5:$F$8,2,-1)</f>
        <v>Semi-autonomous</v>
      </c>
      <c r="F21" s="196">
        <v>0.5</v>
      </c>
      <c r="I21" s="196"/>
      <c r="K21" s="3" t="str">
        <v>Other - L5</v>
      </c>
      <c r="L21" s="196" cm="1">
        <f t="array" ref="L21">INDEX(training_programme_data_table,MATCH('Training programme dashboard'!$M$4,training_programme_list,0),_xlfn.XLOOKUP($K21,'Training programme data entry'!$A:$A,'Training programme data entry'!$B:$B))</f>
        <v>0</v>
      </c>
      <c r="M21" s="3"/>
      <c r="N21" s="3"/>
      <c r="O21" s="3"/>
      <c r="P21" s="3"/>
      <c r="Q21" s="3"/>
      <c r="R21" s="3"/>
      <c r="S21" s="3" t="str">
        <v>Dummy 3</v>
      </c>
      <c r="T21" s="208" t="str" cm="1">
        <f t="array" ref="T21">INDEX(training_programme_data_table,MATCH($S21,training_programme_list,0),_xlfn.XLOOKUP(T$4,'Training programme data entry'!$A:$A,'Training programme data entry'!$B:$B))</f>
        <v>Dummy</v>
      </c>
      <c r="U21" s="208" cm="1">
        <f t="array" ref="U21">INDEX(training_programme_data_table,MATCH($S21,training_programme_list,0),_xlfn.XLOOKUP(U$4,'Training programme data entry'!$A:$A,'Training programme data entry'!$B:$B))</f>
        <v>0</v>
      </c>
      <c r="V21" s="208" cm="1">
        <f t="array" ref="V21">INDEX(training_programme_data_table,MATCH($S21,training_programme_list,0),_xlfn.XLOOKUP(V$4,'Training programme data entry'!$A:$A,'Training programme data entry'!$B:$B))</f>
        <v>0</v>
      </c>
      <c r="W21" s="207">
        <f>U21*'Outcome weighting'!$A$32 + 'Dashboard chart data'!V21*'Outcome weighting'!$B$32</f>
        <v>0</v>
      </c>
      <c r="X21" s="208" cm="1">
        <f t="array" ref="X21">INDEX(training_programme_data_table,MATCH($S21,training_programme_list,0),_xlfn.XLOOKUP(X$4,'Training programme data entry'!$A:$A,'Training programme data entry'!$B:$B))</f>
        <v>0</v>
      </c>
      <c r="Y21" s="208">
        <f t="shared" si="0"/>
        <v>0</v>
      </c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</row>
    <row r="22" spans="2:131" ht="15" customHeight="1" x14ac:dyDescent="0.5">
      <c r="B22" s="3" t="str">
        <v>Fruit</v>
      </c>
      <c r="C22" s="198">
        <v>0.2</v>
      </c>
      <c r="E22" s="3" t="str">
        <v>Managed</v>
      </c>
      <c r="F22" s="196">
        <v>0.4</v>
      </c>
      <c r="I22" s="196"/>
      <c r="K22" s="3" t="str">
        <v>Other - L4</v>
      </c>
      <c r="L22" s="196" cm="1">
        <f t="array" ref="L22">INDEX(training_programme_data_table,MATCH('Training programme dashboard'!$M$4,training_programme_list,0),_xlfn.XLOOKUP($K22,'Training programme data entry'!$A:$A,'Training programme data entry'!$B:$B))</f>
        <v>0.05</v>
      </c>
      <c r="M22" s="3"/>
      <c r="N22" s="3"/>
      <c r="O22" s="3"/>
      <c r="P22" s="3"/>
      <c r="Q22" s="3"/>
      <c r="R22" s="3"/>
      <c r="S22" s="3" t="str">
        <v>Dummy 4</v>
      </c>
      <c r="T22" s="208" t="str" cm="1">
        <f t="array" ref="T22">INDEX(training_programme_data_table,MATCH($S22,training_programme_list,0),_xlfn.XLOOKUP(T$4,'Training programme data entry'!$A:$A,'Training programme data entry'!$B:$B))</f>
        <v>Dummy</v>
      </c>
      <c r="U22" s="208" cm="1">
        <f t="array" ref="U22">INDEX(training_programme_data_table,MATCH($S22,training_programme_list,0),_xlfn.XLOOKUP(U$4,'Training programme data entry'!$A:$A,'Training programme data entry'!$B:$B))</f>
        <v>0</v>
      </c>
      <c r="V22" s="208" cm="1">
        <f t="array" ref="V22">INDEX(training_programme_data_table,MATCH($S22,training_programme_list,0),_xlfn.XLOOKUP(V$4,'Training programme data entry'!$A:$A,'Training programme data entry'!$B:$B))</f>
        <v>0</v>
      </c>
      <c r="W22" s="207">
        <f>U22*'Outcome weighting'!$A$32 + 'Dashboard chart data'!V22*'Outcome weighting'!$B$32</f>
        <v>0</v>
      </c>
      <c r="X22" s="208" cm="1">
        <f t="array" ref="X22">INDEX(training_programme_data_table,MATCH($S22,training_programme_list,0),_xlfn.XLOOKUP(X$4,'Training programme data entry'!$A:$A,'Training programme data entry'!$B:$B))</f>
        <v>0</v>
      </c>
      <c r="Y22" s="208">
        <f t="shared" si="0"/>
        <v>0</v>
      </c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</row>
    <row r="23" spans="2:131" ht="15" customHeight="1" x14ac:dyDescent="0.5">
      <c r="B23" s="3" t="str">
        <v>Arable</v>
      </c>
      <c r="C23" s="198">
        <v>0.1</v>
      </c>
      <c r="E23" s="3" t="str">
        <v>Manager</v>
      </c>
      <c r="F23" s="196">
        <v>0.1</v>
      </c>
      <c r="I23" s="196"/>
      <c r="K23" s="3" t="str">
        <v>Other - L3</v>
      </c>
      <c r="L23" s="196" cm="1">
        <f t="array" ref="L23">INDEX(training_programme_data_table,MATCH('Training programme dashboard'!$M$4,training_programme_list,0),_xlfn.XLOOKUP($K23,'Training programme data entry'!$A:$A,'Training programme data entry'!$B:$B))</f>
        <v>0.15</v>
      </c>
      <c r="M23" s="3"/>
      <c r="N23" s="3"/>
      <c r="O23" s="3"/>
      <c r="P23" s="3"/>
      <c r="Q23" s="3"/>
      <c r="R23" s="3"/>
      <c r="S23" s="3" t="str">
        <v>Dummy 5</v>
      </c>
      <c r="T23" s="208" t="str" cm="1">
        <f t="array" ref="T23">INDEX(training_programme_data_table,MATCH($S23,training_programme_list,0),_xlfn.XLOOKUP(T$4,'Training programme data entry'!$A:$A,'Training programme data entry'!$B:$B))</f>
        <v>Dummy</v>
      </c>
      <c r="U23" s="208" cm="1">
        <f t="array" ref="U23">INDEX(training_programme_data_table,MATCH($S23,training_programme_list,0),_xlfn.XLOOKUP(U$4,'Training programme data entry'!$A:$A,'Training programme data entry'!$B:$B))</f>
        <v>0</v>
      </c>
      <c r="V23" s="208" cm="1">
        <f t="array" ref="V23">INDEX(training_programme_data_table,MATCH($S23,training_programme_list,0),_xlfn.XLOOKUP(V$4,'Training programme data entry'!$A:$A,'Training programme data entry'!$B:$B))</f>
        <v>0</v>
      </c>
      <c r="W23" s="207">
        <f>U23*'Outcome weighting'!$A$32 + 'Dashboard chart data'!V23*'Outcome weighting'!$B$32</f>
        <v>0</v>
      </c>
      <c r="X23" s="208" cm="1">
        <f t="array" ref="X23">INDEX(training_programme_data_table,MATCH($S23,training_programme_list,0),_xlfn.XLOOKUP(X$4,'Training programme data entry'!$A:$A,'Training programme data entry'!$B:$B))</f>
        <v>0</v>
      </c>
      <c r="Y23" s="208">
        <f t="shared" si="0"/>
        <v>0</v>
      </c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</row>
    <row r="24" spans="2:131" ht="15" customHeight="1" x14ac:dyDescent="0.5">
      <c r="B24" s="3" t="str">
        <v>Grapes and wine</v>
      </c>
      <c r="C24" s="198">
        <v>0.1</v>
      </c>
      <c r="E24" s="3" t="str">
        <v>Strategic manager</v>
      </c>
      <c r="F24" s="196">
        <v>0</v>
      </c>
      <c r="I24" s="196"/>
      <c r="K24" s="3" t="str">
        <v>Other - L2</v>
      </c>
      <c r="L24" s="196" cm="1">
        <f t="array" ref="L24">INDEX(training_programme_data_table,MATCH('Training programme dashboard'!$M$4,training_programme_list,0),_xlfn.XLOOKUP($K24,'Training programme data entry'!$A:$A,'Training programme data entry'!$B:$B))</f>
        <v>0.15</v>
      </c>
      <c r="M24" s="3"/>
      <c r="N24" s="3"/>
      <c r="O24" s="3"/>
      <c r="P24" s="3"/>
      <c r="Q24" s="3"/>
      <c r="R24" s="3"/>
      <c r="S24" s="3" t="str">
        <v>Dummy 6</v>
      </c>
      <c r="T24" s="208" t="str" cm="1">
        <f t="array" ref="T24">INDEX(training_programme_data_table,MATCH($S24,training_programme_list,0),_xlfn.XLOOKUP(T$4,'Training programme data entry'!$A:$A,'Training programme data entry'!$B:$B))</f>
        <v>Dummy</v>
      </c>
      <c r="U24" s="208" cm="1">
        <f t="array" ref="U24">INDEX(training_programme_data_table,MATCH($S24,training_programme_list,0),_xlfn.XLOOKUP(U$4,'Training programme data entry'!$A:$A,'Training programme data entry'!$B:$B))</f>
        <v>0</v>
      </c>
      <c r="V24" s="208" cm="1">
        <f t="array" ref="V24">INDEX(training_programme_data_table,MATCH($S24,training_programme_list,0),_xlfn.XLOOKUP(V$4,'Training programme data entry'!$A:$A,'Training programme data entry'!$B:$B))</f>
        <v>0</v>
      </c>
      <c r="W24" s="207">
        <f>U24*'Outcome weighting'!$A$32 + 'Dashboard chart data'!V24*'Outcome weighting'!$B$32</f>
        <v>0</v>
      </c>
      <c r="X24" s="208" cm="1">
        <f t="array" ref="X24">INDEX(training_programme_data_table,MATCH($S24,training_programme_list,0),_xlfn.XLOOKUP(X$4,'Training programme data entry'!$A:$A,'Training programme data entry'!$B:$B))</f>
        <v>0</v>
      </c>
      <c r="Y24" s="208">
        <f t="shared" si="0"/>
        <v>0</v>
      </c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</row>
    <row r="25" spans="2:131" ht="15" customHeight="1" x14ac:dyDescent="0.5">
      <c r="B25" s="3" t="str">
        <v>Sheep, beef and deer farming</v>
      </c>
      <c r="C25" s="198">
        <v>0.1</v>
      </c>
      <c r="K25" s="3" t="str">
        <v>Other - L1</v>
      </c>
      <c r="L25" s="196" cm="1">
        <f t="array" ref="L25">INDEX(training_programme_data_table,MATCH('Training programme dashboard'!$M$4,training_programme_list,0),_xlfn.XLOOKUP($K25,'Training programme data entry'!$A:$A,'Training programme data entry'!$B:$B))</f>
        <v>0</v>
      </c>
      <c r="M25" s="3"/>
      <c r="N25" s="3"/>
      <c r="O25" s="3"/>
      <c r="P25" s="3"/>
      <c r="Q25" s="3"/>
      <c r="R25" s="3"/>
      <c r="S25" s="3" t="str">
        <v>Dummy 7</v>
      </c>
      <c r="T25" s="208" t="str" cm="1">
        <f t="array" ref="T25">INDEX(training_programme_data_table,MATCH($S25,training_programme_list,0),_xlfn.XLOOKUP(T$4,'Training programme data entry'!$A:$A,'Training programme data entry'!$B:$B))</f>
        <v>Dummy</v>
      </c>
      <c r="U25" s="208" cm="1">
        <f t="array" ref="U25">INDEX(training_programme_data_table,MATCH($S25,training_programme_list,0),_xlfn.XLOOKUP(U$4,'Training programme data entry'!$A:$A,'Training programme data entry'!$B:$B))</f>
        <v>0</v>
      </c>
      <c r="V25" s="208" cm="1">
        <f t="array" ref="V25">INDEX(training_programme_data_table,MATCH($S25,training_programme_list,0),_xlfn.XLOOKUP(V$4,'Training programme data entry'!$A:$A,'Training programme data entry'!$B:$B))</f>
        <v>0</v>
      </c>
      <c r="W25" s="207">
        <f>U25*'Outcome weighting'!$A$32 + 'Dashboard chart data'!V25*'Outcome weighting'!$B$32</f>
        <v>0</v>
      </c>
      <c r="X25" s="208" cm="1">
        <f t="array" ref="X25">INDEX(training_programme_data_table,MATCH($S25,training_programme_list,0),_xlfn.XLOOKUP(X$4,'Training programme data entry'!$A:$A,'Training programme data entry'!$B:$B))</f>
        <v>0</v>
      </c>
      <c r="Y25" s="208">
        <f t="shared" si="0"/>
        <v>0</v>
      </c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</row>
    <row r="26" spans="2:131" ht="15" customHeight="1" x14ac:dyDescent="0.5">
      <c r="B26" s="3" t="str">
        <v>Vegetables</v>
      </c>
      <c r="C26" s="198">
        <v>0.1</v>
      </c>
      <c r="M26" s="3"/>
      <c r="N26" s="3"/>
      <c r="O26" s="3"/>
      <c r="P26" s="3"/>
      <c r="Q26" s="3"/>
      <c r="R26" s="3"/>
      <c r="S26" s="3" t="str">
        <v>Dummy 8</v>
      </c>
      <c r="T26" s="208" t="str" cm="1">
        <f t="array" ref="T26">INDEX(training_programme_data_table,MATCH($S26,training_programme_list,0),_xlfn.XLOOKUP(T$4,'Training programme data entry'!$A:$A,'Training programme data entry'!$B:$B))</f>
        <v>Dummy</v>
      </c>
      <c r="U26" s="208" cm="1">
        <f t="array" ref="U26">INDEX(training_programme_data_table,MATCH($S26,training_programme_list,0),_xlfn.XLOOKUP(U$4,'Training programme data entry'!$A:$A,'Training programme data entry'!$B:$B))</f>
        <v>0</v>
      </c>
      <c r="V26" s="208" cm="1">
        <f t="array" ref="V26">INDEX(training_programme_data_table,MATCH($S26,training_programme_list,0),_xlfn.XLOOKUP(V$4,'Training programme data entry'!$A:$A,'Training programme data entry'!$B:$B))</f>
        <v>0</v>
      </c>
      <c r="W26" s="207">
        <f>U26*'Outcome weighting'!$A$32 + 'Dashboard chart data'!V26*'Outcome weighting'!$B$32</f>
        <v>0</v>
      </c>
      <c r="X26" s="208" cm="1">
        <f t="array" ref="X26">INDEX(training_programme_data_table,MATCH($S26,training_programme_list,0),_xlfn.XLOOKUP(X$4,'Training programme data entry'!$A:$A,'Training programme data entry'!$B:$B))</f>
        <v>0</v>
      </c>
      <c r="Y26" s="208">
        <f t="shared" si="0"/>
        <v>0</v>
      </c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</row>
    <row r="27" spans="2:131" ht="15" customHeight="1" x14ac:dyDescent="0.5">
      <c r="B27" s="3" t="str">
        <v>Apiculture</v>
      </c>
      <c r="C27" s="198">
        <v>0</v>
      </c>
      <c r="M27" s="3"/>
      <c r="N27" s="3"/>
      <c r="O27" s="3"/>
      <c r="P27" s="3"/>
      <c r="Q27" s="3"/>
      <c r="R27" s="3"/>
      <c r="S27" s="3" t="str">
        <v>Dummy 9</v>
      </c>
      <c r="T27" s="208" t="str" cm="1">
        <f t="array" ref="T27">INDEX(training_programme_data_table,MATCH($S27,training_programme_list,0),_xlfn.XLOOKUP(T$4,'Training programme data entry'!$A:$A,'Training programme data entry'!$B:$B))</f>
        <v>Dummy</v>
      </c>
      <c r="U27" s="208" cm="1">
        <f t="array" ref="U27">INDEX(training_programme_data_table,MATCH($S27,training_programme_list,0),_xlfn.XLOOKUP(U$4,'Training programme data entry'!$A:$A,'Training programme data entry'!$B:$B))</f>
        <v>0</v>
      </c>
      <c r="V27" s="208" cm="1">
        <f t="array" ref="V27">INDEX(training_programme_data_table,MATCH($S27,training_programme_list,0),_xlfn.XLOOKUP(V$4,'Training programme data entry'!$A:$A,'Training programme data entry'!$B:$B))</f>
        <v>0</v>
      </c>
      <c r="W27" s="207">
        <f>U27*'Outcome weighting'!$A$32 + 'Dashboard chart data'!V27*'Outcome weighting'!$B$32</f>
        <v>0</v>
      </c>
      <c r="X27" s="208" cm="1">
        <f t="array" ref="X27">INDEX(training_programme_data_table,MATCH($S27,training_programme_list,0),_xlfn.XLOOKUP(X$4,'Training programme data entry'!$A:$A,'Training programme data entry'!$B:$B))</f>
        <v>0</v>
      </c>
      <c r="Y27" s="208">
        <f t="shared" si="0"/>
        <v>0</v>
      </c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</row>
    <row r="28" spans="2:131" ht="15" customHeight="1" x14ac:dyDescent="0.5">
      <c r="B28" s="3" t="str">
        <v>Equine, dogs and racing</v>
      </c>
      <c r="C28" s="198">
        <v>0</v>
      </c>
      <c r="M28" s="3"/>
      <c r="N28" s="3"/>
      <c r="O28" s="3"/>
      <c r="P28" s="3"/>
      <c r="Q28" s="3"/>
      <c r="R28" s="3"/>
      <c r="S28" s="3" t="str">
        <v>Dummy 10</v>
      </c>
      <c r="T28" s="208" t="str" cm="1">
        <f t="array" ref="T28">INDEX(training_programme_data_table,MATCH($S28,training_programme_list,0),_xlfn.XLOOKUP(T$4,'Training programme data entry'!$A:$A,'Training programme data entry'!$B:$B))</f>
        <v>Dummy</v>
      </c>
      <c r="U28" s="208" cm="1">
        <f t="array" ref="U28">INDEX(training_programme_data_table,MATCH($S28,training_programme_list,0),_xlfn.XLOOKUP(U$4,'Training programme data entry'!$A:$A,'Training programme data entry'!$B:$B))</f>
        <v>0</v>
      </c>
      <c r="V28" s="208" cm="1">
        <f t="array" ref="V28">INDEX(training_programme_data_table,MATCH($S28,training_programme_list,0),_xlfn.XLOOKUP(V$4,'Training programme data entry'!$A:$A,'Training programme data entry'!$B:$B))</f>
        <v>0</v>
      </c>
      <c r="W28" s="207">
        <f>U28*'Outcome weighting'!$A$32 + 'Dashboard chart data'!V28*'Outcome weighting'!$B$32</f>
        <v>0</v>
      </c>
      <c r="X28" s="208" cm="1">
        <f t="array" ref="X28">INDEX(training_programme_data_table,MATCH($S28,training_programme_list,0),_xlfn.XLOOKUP(X$4,'Training programme data entry'!$A:$A,'Training programme data entry'!$B:$B))</f>
        <v>0</v>
      </c>
      <c r="Y28" s="208">
        <f t="shared" si="0"/>
        <v>0</v>
      </c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</row>
    <row r="29" spans="2:131" ht="15" customHeight="1" x14ac:dyDescent="0.5">
      <c r="B29" s="3" t="str">
        <v>Forestry</v>
      </c>
      <c r="C29" s="198">
        <v>0</v>
      </c>
      <c r="M29" s="3"/>
      <c r="N29" s="3"/>
      <c r="O29" s="3"/>
      <c r="P29" s="3"/>
      <c r="Q29" s="3"/>
      <c r="R29" s="3"/>
      <c r="S29" s="3" t="str">
        <v>Dummy 11</v>
      </c>
      <c r="T29" s="208" t="str" cm="1">
        <f t="array" ref="T29">INDEX(training_programme_data_table,MATCH($S29,training_programme_list,0),_xlfn.XLOOKUP(T$4,'Training programme data entry'!$A:$A,'Training programme data entry'!$B:$B))</f>
        <v>Dummy</v>
      </c>
      <c r="U29" s="208" cm="1">
        <f t="array" ref="U29">INDEX(training_programme_data_table,MATCH($S29,training_programme_list,0),_xlfn.XLOOKUP(U$4,'Training programme data entry'!$A:$A,'Training programme data entry'!$B:$B))</f>
        <v>0</v>
      </c>
      <c r="V29" s="208" cm="1">
        <f t="array" ref="V29">INDEX(training_programme_data_table,MATCH($S29,training_programme_list,0),_xlfn.XLOOKUP(V$4,'Training programme data entry'!$A:$A,'Training programme data entry'!$B:$B))</f>
        <v>0</v>
      </c>
      <c r="W29" s="207">
        <f>U29*'Outcome weighting'!$A$32 + 'Dashboard chart data'!V29*'Outcome weighting'!$B$32</f>
        <v>0</v>
      </c>
      <c r="X29" s="208" cm="1">
        <f t="array" ref="X29">INDEX(training_programme_data_table,MATCH($S29,training_programme_list,0),_xlfn.XLOOKUP(X$4,'Training programme data entry'!$A:$A,'Training programme data entry'!$B:$B))</f>
        <v>0</v>
      </c>
      <c r="Y29" s="208">
        <f t="shared" si="0"/>
        <v>0</v>
      </c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</row>
    <row r="30" spans="2:131" ht="15" customHeight="1" x14ac:dyDescent="0.5">
      <c r="B30" s="3" t="str">
        <v>Nursery, turf and gardening</v>
      </c>
      <c r="C30" s="198">
        <v>0</v>
      </c>
      <c r="K30" s="3" t="s">
        <v>455</v>
      </c>
      <c r="L30" s="196">
        <f>L5</f>
        <v>0.3</v>
      </c>
      <c r="M30" s="3"/>
      <c r="N30" s="3"/>
      <c r="O30" s="3"/>
      <c r="P30" s="3"/>
      <c r="Q30" s="3"/>
      <c r="R30" s="3"/>
      <c r="S30" s="3" t="str">
        <v>Dummy 12</v>
      </c>
      <c r="T30" s="208" t="str" cm="1">
        <f t="array" ref="T30">INDEX(training_programme_data_table,MATCH($S30,training_programme_list,0),_xlfn.XLOOKUP(T$4,'Training programme data entry'!$A:$A,'Training programme data entry'!$B:$B))</f>
        <v>Dummy</v>
      </c>
      <c r="U30" s="208" cm="1">
        <f t="array" ref="U30">INDEX(training_programme_data_table,MATCH($S30,training_programme_list,0),_xlfn.XLOOKUP(U$4,'Training programme data entry'!$A:$A,'Training programme data entry'!$B:$B))</f>
        <v>0</v>
      </c>
      <c r="V30" s="208" cm="1">
        <f t="array" ref="V30">INDEX(training_programme_data_table,MATCH($S30,training_programme_list,0),_xlfn.XLOOKUP(V$4,'Training programme data entry'!$A:$A,'Training programme data entry'!$B:$B))</f>
        <v>0</v>
      </c>
      <c r="W30" s="207">
        <f>U30*'Outcome weighting'!$A$32 + 'Dashboard chart data'!V30*'Outcome weighting'!$B$32</f>
        <v>0</v>
      </c>
      <c r="X30" s="208" cm="1">
        <f t="array" ref="X30">INDEX(training_programme_data_table,MATCH($S30,training_programme_list,0),_xlfn.XLOOKUP(X$4,'Training programme data entry'!$A:$A,'Training programme data entry'!$B:$B))</f>
        <v>0</v>
      </c>
      <c r="Y30" s="208">
        <f t="shared" si="0"/>
        <v>0</v>
      </c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</row>
    <row r="31" spans="2:131" ht="15" customHeight="1" x14ac:dyDescent="0.5">
      <c r="B31" s="3" t="str">
        <v>Poultry, pigs &amp; other livestock</v>
      </c>
      <c r="C31" s="198">
        <v>0</v>
      </c>
      <c r="K31" s="3" t="s">
        <v>456</v>
      </c>
      <c r="L31" s="196">
        <f>L25+L24+L15+L14</f>
        <v>0.25</v>
      </c>
      <c r="M31" s="3"/>
      <c r="N31" s="3"/>
      <c r="O31" s="3"/>
      <c r="P31" s="3"/>
      <c r="Q31" s="3"/>
      <c r="R31" s="3"/>
      <c r="S31" s="3" t="str">
        <v>Dummy 13</v>
      </c>
      <c r="T31" s="208" t="str" cm="1">
        <f t="array" ref="T31">INDEX(training_programme_data_table,MATCH($S31,training_programme_list,0),_xlfn.XLOOKUP(T$4,'Training programme data entry'!$A:$A,'Training programme data entry'!$B:$B))</f>
        <v>Dummy</v>
      </c>
      <c r="U31" s="208" cm="1">
        <f t="array" ref="U31">INDEX(training_programme_data_table,MATCH($S31,training_programme_list,0),_xlfn.XLOOKUP(U$4,'Training programme data entry'!$A:$A,'Training programme data entry'!$B:$B))</f>
        <v>0</v>
      </c>
      <c r="V31" s="208" cm="1">
        <f t="array" ref="V31">INDEX(training_programme_data_table,MATCH($S31,training_programme_list,0),_xlfn.XLOOKUP(V$4,'Training programme data entry'!$A:$A,'Training programme data entry'!$B:$B))</f>
        <v>0</v>
      </c>
      <c r="W31" s="207">
        <f>U31*'Outcome weighting'!$A$32 + 'Dashboard chart data'!V31*'Outcome weighting'!$B$32</f>
        <v>0</v>
      </c>
      <c r="X31" s="208" cm="1">
        <f t="array" ref="X31">INDEX(training_programme_data_table,MATCH($S31,training_programme_list,0),_xlfn.XLOOKUP(X$4,'Training programme data entry'!$A:$A,'Training programme data entry'!$B:$B))</f>
        <v>0</v>
      </c>
      <c r="Y31" s="208">
        <f t="shared" si="0"/>
        <v>0</v>
      </c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</row>
    <row r="32" spans="2:131" ht="15" customHeight="1" x14ac:dyDescent="0.5">
      <c r="B32" s="3" t="str">
        <v>Seafood - production</v>
      </c>
      <c r="C32" s="198">
        <v>0</v>
      </c>
      <c r="K32" s="3" t="s">
        <v>457</v>
      </c>
      <c r="L32" s="196">
        <f>L23+L13</f>
        <v>0.35</v>
      </c>
      <c r="M32" s="3"/>
      <c r="N32" s="3"/>
      <c r="O32" s="3"/>
      <c r="P32" s="3"/>
      <c r="Q32" s="3"/>
      <c r="R32" s="3"/>
      <c r="S32" s="3" t="str">
        <v>Dummy 14</v>
      </c>
      <c r="T32" s="208" t="str" cm="1">
        <f t="array" ref="T32">INDEX(training_programme_data_table,MATCH($S32,training_programme_list,0),_xlfn.XLOOKUP(T$4,'Training programme data entry'!$A:$A,'Training programme data entry'!$B:$B))</f>
        <v>Dummy</v>
      </c>
      <c r="U32" s="208" cm="1">
        <f t="array" ref="U32">INDEX(training_programme_data_table,MATCH($S32,training_programme_list,0),_xlfn.XLOOKUP(U$4,'Training programme data entry'!$A:$A,'Training programme data entry'!$B:$B))</f>
        <v>0</v>
      </c>
      <c r="V32" s="208" cm="1">
        <f t="array" ref="V32">INDEX(training_programme_data_table,MATCH($S32,training_programme_list,0),_xlfn.XLOOKUP(V$4,'Training programme data entry'!$A:$A,'Training programme data entry'!$B:$B))</f>
        <v>0</v>
      </c>
      <c r="W32" s="207">
        <f>U32*'Outcome weighting'!$A$32 + 'Dashboard chart data'!V32*'Outcome weighting'!$B$32</f>
        <v>0</v>
      </c>
      <c r="X32" s="208" cm="1">
        <f t="array" ref="X32">INDEX(training_programme_data_table,MATCH($S32,training_programme_list,0),_xlfn.XLOOKUP(X$4,'Training programme data entry'!$A:$A,'Training programme data entry'!$B:$B))</f>
        <v>0</v>
      </c>
      <c r="Y32" s="208">
        <f t="shared" si="0"/>
        <v>0</v>
      </c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</row>
    <row r="33" spans="2:131" ht="15" customHeight="1" x14ac:dyDescent="0.5">
      <c r="B33" s="3" t="str">
        <v>Seafood - processing</v>
      </c>
      <c r="C33" s="198">
        <v>0</v>
      </c>
      <c r="K33" s="3" t="s">
        <v>458</v>
      </c>
      <c r="L33" s="196">
        <f>L22+L12</f>
        <v>0.05</v>
      </c>
      <c r="M33" s="3"/>
      <c r="N33" s="3"/>
      <c r="O33" s="3"/>
      <c r="P33" s="3"/>
      <c r="Q33" s="3"/>
      <c r="R33" s="3"/>
      <c r="S33" s="3" t="str">
        <v>Dummy 15</v>
      </c>
      <c r="T33" s="208" t="str" cm="1">
        <f t="array" ref="T33">INDEX(training_programme_data_table,MATCH($S33,training_programme_list,0),_xlfn.XLOOKUP(T$4,'Training programme data entry'!$A:$A,'Training programme data entry'!$B:$B))</f>
        <v>Dummy</v>
      </c>
      <c r="U33" s="208" cm="1">
        <f t="array" ref="U33">INDEX(training_programme_data_table,MATCH($S33,training_programme_list,0),_xlfn.XLOOKUP(U$4,'Training programme data entry'!$A:$A,'Training programme data entry'!$B:$B))</f>
        <v>0</v>
      </c>
      <c r="V33" s="208" cm="1">
        <f t="array" ref="V33">INDEX(training_programme_data_table,MATCH($S33,training_programme_list,0),_xlfn.XLOOKUP(V$4,'Training programme data entry'!$A:$A,'Training programme data entry'!$B:$B))</f>
        <v>0</v>
      </c>
      <c r="W33" s="207">
        <f>U33*'Outcome weighting'!$A$32 + 'Dashboard chart data'!V33*'Outcome weighting'!$B$32</f>
        <v>0</v>
      </c>
      <c r="X33" s="208" cm="1">
        <f t="array" ref="X33">INDEX(training_programme_data_table,MATCH($S33,training_programme_list,0),_xlfn.XLOOKUP(X$4,'Training programme data entry'!$A:$A,'Training programme data entry'!$B:$B))</f>
        <v>0</v>
      </c>
      <c r="Y33" s="208">
        <f t="shared" si="0"/>
        <v>0</v>
      </c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</row>
    <row r="34" spans="2:131" ht="15" customHeight="1" x14ac:dyDescent="0.5">
      <c r="B34" s="3" t="str">
        <v>Support services</v>
      </c>
      <c r="C34" s="198">
        <v>0</v>
      </c>
      <c r="K34" s="3" t="s">
        <v>459</v>
      </c>
      <c r="L34" s="116">
        <f>SUM(L10:L11) + SUM(L20:L21)</f>
        <v>0</v>
      </c>
      <c r="M34" s="3"/>
      <c r="N34" s="3"/>
      <c r="O34" s="3"/>
      <c r="P34" s="3"/>
      <c r="Q34" s="3"/>
      <c r="R34" s="3"/>
      <c r="S34" s="3" t="str">
        <v>Dummy 16</v>
      </c>
      <c r="T34" s="208" t="str" cm="1">
        <f t="array" ref="T34">INDEX(training_programme_data_table,MATCH($S34,training_programme_list,0),_xlfn.XLOOKUP(T$4,'Training programme data entry'!$A:$A,'Training programme data entry'!$B:$B))</f>
        <v>Dummy</v>
      </c>
      <c r="U34" s="208" cm="1">
        <f t="array" ref="U34">INDEX(training_programme_data_table,MATCH($S34,training_programme_list,0),_xlfn.XLOOKUP(U$4,'Training programme data entry'!$A:$A,'Training programme data entry'!$B:$B))</f>
        <v>0</v>
      </c>
      <c r="V34" s="208" cm="1">
        <f t="array" ref="V34">INDEX(training_programme_data_table,MATCH($S34,training_programme_list,0),_xlfn.XLOOKUP(V$4,'Training programme data entry'!$A:$A,'Training programme data entry'!$B:$B))</f>
        <v>0</v>
      </c>
      <c r="W34" s="207">
        <f>U34*'Outcome weighting'!$A$32 + 'Dashboard chart data'!V34*'Outcome weighting'!$B$32</f>
        <v>0</v>
      </c>
      <c r="X34" s="208" cm="1">
        <f t="array" ref="X34">INDEX(training_programme_data_table,MATCH($S34,training_programme_list,0),_xlfn.XLOOKUP(X$4,'Training programme data entry'!$A:$A,'Training programme data entry'!$B:$B))</f>
        <v>0</v>
      </c>
      <c r="Y34" s="208">
        <f t="shared" si="0"/>
        <v>0</v>
      </c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</row>
    <row r="35" spans="2:131" ht="15" customHeight="1" x14ac:dyDescent="0.5">
      <c r="B35" s="3" t="str">
        <v>Veterinary</v>
      </c>
      <c r="C35" s="198">
        <v>0</v>
      </c>
      <c r="K35" s="3" t="s">
        <v>460</v>
      </c>
      <c r="L35" s="116">
        <f>SUM(L6:L9) + SUM(L16:L19)</f>
        <v>0.05</v>
      </c>
      <c r="M35" s="3"/>
      <c r="N35" s="3"/>
      <c r="O35" s="3"/>
      <c r="P35" s="3"/>
      <c r="Q35" s="3"/>
      <c r="R35" s="3"/>
      <c r="S35" s="3" t="str">
        <v>Dummy 17</v>
      </c>
      <c r="T35" s="208" t="str" cm="1">
        <f t="array" ref="T35">INDEX(training_programme_data_table,MATCH($S35,training_programme_list,0),_xlfn.XLOOKUP(T$4,'Training programme data entry'!$A:$A,'Training programme data entry'!$B:$B))</f>
        <v>Dummy</v>
      </c>
      <c r="U35" s="208" cm="1">
        <f t="array" ref="U35">INDEX(training_programme_data_table,MATCH($S35,training_programme_list,0),_xlfn.XLOOKUP(U$4,'Training programme data entry'!$A:$A,'Training programme data entry'!$B:$B))</f>
        <v>0</v>
      </c>
      <c r="V35" s="208" cm="1">
        <f t="array" ref="V35">INDEX(training_programme_data_table,MATCH($S35,training_programme_list,0),_xlfn.XLOOKUP(V$4,'Training programme data entry'!$A:$A,'Training programme data entry'!$B:$B))</f>
        <v>0</v>
      </c>
      <c r="W35" s="207">
        <f>U35*'Outcome weighting'!$A$32 + 'Dashboard chart data'!V35*'Outcome weighting'!$B$32</f>
        <v>0</v>
      </c>
      <c r="X35" s="208" cm="1">
        <f t="array" ref="X35">INDEX(training_programme_data_table,MATCH($S35,training_programme_list,0),_xlfn.XLOOKUP(X$4,'Training programme data entry'!$A:$A,'Training programme data entry'!$B:$B))</f>
        <v>0</v>
      </c>
      <c r="Y35" s="208">
        <f t="shared" si="0"/>
        <v>0</v>
      </c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</row>
    <row r="36" spans="2:131" ht="15" customHeight="1" x14ac:dyDescent="0.5">
      <c r="M36" s="3"/>
      <c r="N36" s="3"/>
      <c r="O36" s="3"/>
      <c r="P36" s="3"/>
      <c r="Q36" s="3"/>
      <c r="R36" s="3"/>
      <c r="S36" s="3" t="str">
        <v>Dummy 18</v>
      </c>
      <c r="T36" s="208" t="str" cm="1">
        <f t="array" ref="T36">INDEX(training_programme_data_table,MATCH($S36,training_programme_list,0),_xlfn.XLOOKUP(T$4,'Training programme data entry'!$A:$A,'Training programme data entry'!$B:$B))</f>
        <v>Dummy</v>
      </c>
      <c r="U36" s="208" cm="1">
        <f t="array" ref="U36">INDEX(training_programme_data_table,MATCH($S36,training_programme_list,0),_xlfn.XLOOKUP(U$4,'Training programme data entry'!$A:$A,'Training programme data entry'!$B:$B))</f>
        <v>0</v>
      </c>
      <c r="V36" s="208" cm="1">
        <f t="array" ref="V36">INDEX(training_programme_data_table,MATCH($S36,training_programme_list,0),_xlfn.XLOOKUP(V$4,'Training programme data entry'!$A:$A,'Training programme data entry'!$B:$B))</f>
        <v>0</v>
      </c>
      <c r="W36" s="207">
        <f>U36*'Outcome weighting'!$A$32 + 'Dashboard chart data'!V36*'Outcome weighting'!$B$32</f>
        <v>0</v>
      </c>
      <c r="X36" s="208" cm="1">
        <f t="array" ref="X36">INDEX(training_programme_data_table,MATCH($S36,training_programme_list,0),_xlfn.XLOOKUP(X$4,'Training programme data entry'!$A:$A,'Training programme data entry'!$B:$B))</f>
        <v>0</v>
      </c>
      <c r="Y36" s="208">
        <f t="shared" si="0"/>
        <v>0</v>
      </c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</row>
    <row r="37" spans="2:131" ht="15" customHeight="1" x14ac:dyDescent="0.5">
      <c r="B37" s="201" t="s">
        <v>58</v>
      </c>
      <c r="C37" s="200"/>
      <c r="E37" s="201" t="s">
        <v>2</v>
      </c>
      <c r="F37" s="200"/>
      <c r="H37" s="201" t="s">
        <v>452</v>
      </c>
      <c r="I37" s="200"/>
      <c r="K37" s="201" t="s">
        <v>257</v>
      </c>
      <c r="L37" s="200"/>
      <c r="M37" s="3"/>
      <c r="N37" s="3"/>
      <c r="O37" s="3"/>
      <c r="P37" s="3"/>
      <c r="Q37" s="3"/>
      <c r="R37" s="3"/>
      <c r="S37" s="3" t="str">
        <v>Apprenticeship - Food and fibre production - L3+4</v>
      </c>
      <c r="T37" s="208" t="str" cm="1">
        <f t="array" ref="T37">INDEX(training_programme_data_table,MATCH($S37,training_programme_list,0),_xlfn.XLOOKUP(T$4,'Training programme data entry'!$A:$A,'Training programme data entry'!$B:$B))</f>
        <v>Food and fibre training group</v>
      </c>
      <c r="U37" s="208" cm="1">
        <f t="array" ref="U37">INDEX(training_programme_data_table,MATCH($S37,training_programme_list,0),_xlfn.XLOOKUP(U$4,'Training programme data entry'!$A:$A,'Training programme data entry'!$B:$B))</f>
        <v>38871.455446285901</v>
      </c>
      <c r="V37" s="208" cm="1">
        <f t="array" ref="V37">INDEX(training_programme_data_table,MATCH($S37,training_programme_list,0),_xlfn.XLOOKUP(V$4,'Training programme data entry'!$A:$A,'Training programme data entry'!$B:$B))</f>
        <v>102069.27315402401</v>
      </c>
      <c r="W37" s="207">
        <f>U37*'Outcome weighting'!$A$32 + 'Dashboard chart data'!V37*'Outcome weighting'!$B$32</f>
        <v>140940.7286003099</v>
      </c>
      <c r="X37" s="208" cm="1">
        <f t="array" ref="X37">INDEX(training_programme_data_table,MATCH($S37,training_programme_list,0),_xlfn.XLOOKUP(X$4,'Training programme data entry'!$A:$A,'Training programme data entry'!$B:$B))</f>
        <v>15090</v>
      </c>
      <c r="Y37" s="208">
        <f t="shared" si="0"/>
        <v>9.3400085222206695</v>
      </c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</row>
    <row r="38" spans="2:131" ht="15" customHeight="1" x14ac:dyDescent="0.5">
      <c r="B38" s="199" t="str">
        <f>IF(C21&gt;0,B21,"")</f>
        <v>Dairy farming</v>
      </c>
      <c r="C38" s="200">
        <f>IF(C21&gt;0,C21,"")</f>
        <v>0.4</v>
      </c>
      <c r="E38" s="199" t="str">
        <f>IF(F21&gt;0,E21,"-")</f>
        <v>Semi-autonomous</v>
      </c>
      <c r="F38" s="200">
        <f>IF(F21&gt;0,F21,NA())</f>
        <v>0.5</v>
      </c>
      <c r="H38" s="199" t="str">
        <f>IF(I5&gt;0,H5,"-")</f>
        <v>-</v>
      </c>
      <c r="I38" s="200" t="e">
        <f>IF(I5&gt;0,I5,NA())</f>
        <v>#N/A</v>
      </c>
      <c r="K38" s="199" t="str">
        <f>K30</f>
        <v>No post-secondary</v>
      </c>
      <c r="L38" s="200">
        <f>IF(L30&gt;0,L30,NA())</f>
        <v>0.3</v>
      </c>
      <c r="M38" s="3"/>
      <c r="N38" s="3"/>
      <c r="O38" s="3"/>
      <c r="P38" s="3"/>
      <c r="Q38" s="3"/>
      <c r="R38" s="3"/>
      <c r="S38" s="3" t="str">
        <v>Microcredential - Agribusiness budgeting - L5</v>
      </c>
      <c r="T38" s="208" t="str" cm="1">
        <f t="array" ref="T38">INDEX(training_programme_data_table,MATCH($S38,training_programme_list,0),_xlfn.XLOOKUP(T$4,'Training programme data entry'!$A:$A,'Training programme data entry'!$B:$B))</f>
        <v>Food and fibre training group</v>
      </c>
      <c r="U38" s="208" cm="1">
        <f t="array" ref="U38">INDEX(training_programme_data_table,MATCH($S38,training_programme_list,0),_xlfn.XLOOKUP(U$4,'Training programme data entry'!$A:$A,'Training programme data entry'!$B:$B))</f>
        <v>369295.85517025599</v>
      </c>
      <c r="V38" s="208" cm="1">
        <f t="array" ref="V38">INDEX(training_programme_data_table,MATCH($S38,training_programme_list,0),_xlfn.XLOOKUP(V$4,'Training programme data entry'!$A:$A,'Training programme data entry'!$B:$B))</f>
        <v>40332.526282504798</v>
      </c>
      <c r="W38" s="207">
        <f>U38*'Outcome weighting'!$A$32 + 'Dashboard chart data'!V38*'Outcome weighting'!$B$32</f>
        <v>409628.38145276078</v>
      </c>
      <c r="X38" s="208" cm="1">
        <f t="array" ref="X38">INDEX(training_programme_data_table,MATCH($S38,training_programme_list,0),_xlfn.XLOOKUP(X$4,'Training programme data entry'!$A:$A,'Training programme data entry'!$B:$B))</f>
        <v>2458.8354271080798</v>
      </c>
      <c r="Y38" s="208">
        <f t="shared" si="0"/>
        <v>166.59446864019634</v>
      </c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</row>
    <row r="39" spans="2:131" ht="15" customHeight="1" x14ac:dyDescent="0.5">
      <c r="B39" s="199" t="str">
        <f>IF(C22&gt;0,B22,"")</f>
        <v>Fruit</v>
      </c>
      <c r="C39" s="200">
        <f>IF(C22&gt;0,C22,"")</f>
        <v>0.2</v>
      </c>
      <c r="E39" s="199" t="str">
        <f>IF(F22&gt;0,E22,"-")</f>
        <v>Managed</v>
      </c>
      <c r="F39" s="200">
        <f>IF(F22&gt;0,F22,NA())</f>
        <v>0.4</v>
      </c>
      <c r="H39" s="199" t="str">
        <f>IF(I6&gt;0,H6,"-")</f>
        <v>1 to 2 years</v>
      </c>
      <c r="I39" s="200">
        <f>IF(I6&gt;0,I6,NA())</f>
        <v>0.3</v>
      </c>
      <c r="K39" s="199" t="str">
        <f t="shared" ref="K39:K43" si="1">K31</f>
        <v>Level 1-2</v>
      </c>
      <c r="L39" s="200">
        <f t="shared" ref="L39:L43" si="2">IF(L31&gt;0,L31,NA())</f>
        <v>0.25</v>
      </c>
      <c r="M39" s="3"/>
      <c r="N39" s="3"/>
      <c r="O39" s="3"/>
      <c r="P39" s="3"/>
      <c r="Q39" s="3"/>
      <c r="R39" s="3"/>
      <c r="S39" s="3" t="str">
        <v>Certificate - Introduction to farming - L2</v>
      </c>
      <c r="T39" s="208" t="str" cm="1">
        <f t="array" ref="T39">INDEX(training_programme_data_table,MATCH($S39,training_programme_list,0),_xlfn.XLOOKUP(T$4,'Training programme data entry'!$A:$A,'Training programme data entry'!$B:$B))</f>
        <v>Food and fibre training group</v>
      </c>
      <c r="U39" s="208" cm="1">
        <f t="array" ref="U39">INDEX(training_programme_data_table,MATCH($S39,training_programme_list,0),_xlfn.XLOOKUP(U$4,'Training programme data entry'!$A:$A,'Training programme data entry'!$B:$B))</f>
        <v>18882.941947429001</v>
      </c>
      <c r="V39" s="208" cm="1">
        <f t="array" ref="V39">INDEX(training_programme_data_table,MATCH($S39,training_programme_list,0),_xlfn.XLOOKUP(V$4,'Training programme data entry'!$A:$A,'Training programme data entry'!$B:$B))</f>
        <v>41171.738736225299</v>
      </c>
      <c r="W39" s="207">
        <f>U39*'Outcome weighting'!$A$32 + 'Dashboard chart data'!V39*'Outcome weighting'!$B$32</f>
        <v>60054.680683654296</v>
      </c>
      <c r="X39" s="208" cm="1">
        <f t="array" ref="X39">INDEX(training_programme_data_table,MATCH($S39,training_programme_list,0),_xlfn.XLOOKUP(X$4,'Training programme data entry'!$A:$A,'Training programme data entry'!$B:$B))</f>
        <v>8214.3419158930392</v>
      </c>
      <c r="Y39" s="208">
        <f t="shared" si="0"/>
        <v>7.310954583891986</v>
      </c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</row>
    <row r="40" spans="2:131" ht="15" customHeight="1" x14ac:dyDescent="0.5">
      <c r="B40" s="199" t="str">
        <f>IF(C23&gt;0,B23,"-")</f>
        <v>Arable</v>
      </c>
      <c r="C40" s="200">
        <f>IF(C23&gt;0,C23,NA())</f>
        <v>0.1</v>
      </c>
      <c r="E40" s="199" t="str">
        <f>IF(F23&gt;0,E23,"-")</f>
        <v>Manager</v>
      </c>
      <c r="F40" s="200">
        <f>IF(F23&gt;0,F23,NA())</f>
        <v>0.1</v>
      </c>
      <c r="H40" s="199" t="str">
        <f>IF(I7&gt;0,H7,"-")</f>
        <v>2 to 4 years</v>
      </c>
      <c r="I40" s="200">
        <f>IF(I7&gt;0,I7,NA())</f>
        <v>0.5</v>
      </c>
      <c r="K40" s="199" t="str">
        <f t="shared" si="1"/>
        <v>Level 3</v>
      </c>
      <c r="L40" s="200">
        <f t="shared" si="2"/>
        <v>0.35</v>
      </c>
      <c r="M40" s="3"/>
      <c r="N40" s="3"/>
      <c r="O40" s="3"/>
      <c r="P40" s="3"/>
      <c r="Q40" s="3"/>
      <c r="R40" s="3"/>
      <c r="S40" s="3" t="str">
        <v>Certificate - Farm skills - L3</v>
      </c>
      <c r="T40" s="208" t="str" cm="1">
        <f t="array" ref="T40">INDEX(training_programme_data_table,MATCH($S40,training_programme_list,0),_xlfn.XLOOKUP(T$4,'Training programme data entry'!$A:$A,'Training programme data entry'!$B:$B))</f>
        <v>Food and fibre training group</v>
      </c>
      <c r="U40" s="208" cm="1">
        <f t="array" ref="U40">INDEX(training_programme_data_table,MATCH($S40,training_programme_list,0),_xlfn.XLOOKUP(U$4,'Training programme data entry'!$A:$A,'Training programme data entry'!$B:$B))</f>
        <v>11710.542444721599</v>
      </c>
      <c r="V40" s="208" cm="1">
        <f t="array" ref="V40">INDEX(training_programme_data_table,MATCH($S40,training_programme_list,0),_xlfn.XLOOKUP(V$4,'Training programme data entry'!$A:$A,'Training programme data entry'!$B:$B))</f>
        <v>45675</v>
      </c>
      <c r="W40" s="207">
        <f>U40*'Outcome weighting'!$A$32 + 'Dashboard chart data'!V40*'Outcome weighting'!$B$32</f>
        <v>57385.542444721599</v>
      </c>
      <c r="X40" s="208" cm="1">
        <f t="array" ref="X40">INDEX(training_programme_data_table,MATCH($S40,training_programme_list,0),_xlfn.XLOOKUP(X$4,'Training programme data entry'!$A:$A,'Training programme data entry'!$B:$B))</f>
        <v>3157.36427781783</v>
      </c>
      <c r="Y40" s="208">
        <f t="shared" si="0"/>
        <v>18.175141477302976</v>
      </c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</row>
    <row r="41" spans="2:131" ht="15" customHeight="1" x14ac:dyDescent="0.5">
      <c r="B41" s="199" t="str">
        <f>IF(C24&gt;0,B24,"-")</f>
        <v>Grapes and wine</v>
      </c>
      <c r="C41" s="200">
        <f>IF(C24&gt;0,C24,NA())</f>
        <v>0.1</v>
      </c>
      <c r="E41" s="199" t="str">
        <f>IF(F24&gt;0,E24,"-")</f>
        <v>-</v>
      </c>
      <c r="F41" s="200" t="e">
        <f>IF(F24&gt;0,F24,NA())</f>
        <v>#N/A</v>
      </c>
      <c r="H41" s="199" t="str">
        <f>IF(I8&gt;0,H8,"-")</f>
        <v>5 to 10 years</v>
      </c>
      <c r="I41" s="200">
        <f>IF(I8&gt;0,I8,NA())</f>
        <v>0.2</v>
      </c>
      <c r="K41" s="199" t="str">
        <f t="shared" si="1"/>
        <v>Level 4</v>
      </c>
      <c r="L41" s="200">
        <f t="shared" si="2"/>
        <v>0.05</v>
      </c>
      <c r="M41" s="3"/>
      <c r="N41" s="3"/>
      <c r="O41" s="3"/>
      <c r="P41" s="3"/>
      <c r="Q41" s="3"/>
      <c r="R41" s="3"/>
      <c r="S41" s="3" t="str">
        <v>Microcredential - Stepping into self-employment - L5</v>
      </c>
      <c r="T41" s="208" t="str" cm="1">
        <f t="array" ref="T41">INDEX(training_programme_data_table,MATCH($S41,training_programme_list,0),_xlfn.XLOOKUP(T$4,'Training programme data entry'!$A:$A,'Training programme data entry'!$B:$B))</f>
        <v>Food and fibre training group</v>
      </c>
      <c r="U41" s="208" cm="1">
        <f t="array" ref="U41">INDEX(training_programme_data_table,MATCH($S41,training_programme_list,0),_xlfn.XLOOKUP(U$4,'Training programme data entry'!$A:$A,'Training programme data entry'!$B:$B))</f>
        <v>155092.72287827701</v>
      </c>
      <c r="V41" s="208" cm="1">
        <f t="array" ref="V41">INDEX(training_programme_data_table,MATCH($S41,training_programme_list,0),_xlfn.XLOOKUP(V$4,'Training programme data entry'!$A:$A,'Training programme data entry'!$B:$B))</f>
        <v>41190.665139579403</v>
      </c>
      <c r="W41" s="207">
        <f>U41*'Outcome weighting'!$A$32 + 'Dashboard chart data'!V41*'Outcome weighting'!$B$32</f>
        <v>196283.3880178564</v>
      </c>
      <c r="X41" s="208" cm="1">
        <f t="array" ref="X41">INDEX(training_programme_data_table,MATCH($S41,training_programme_list,0),_xlfn.XLOOKUP(X$4,'Training programme data entry'!$A:$A,'Training programme data entry'!$B:$B))</f>
        <v>2410.6211413937899</v>
      </c>
      <c r="Y41" s="208">
        <f t="shared" si="0"/>
        <v>81.42440329896381</v>
      </c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</row>
    <row r="42" spans="2:131" ht="15" customHeight="1" x14ac:dyDescent="0.5">
      <c r="B42" s="199" t="str">
        <f>IF(C25&gt;0,"Other","-")</f>
        <v>Other</v>
      </c>
      <c r="C42" s="200">
        <f>IF(C25&gt;0,SUM(C25:C35),NA())</f>
        <v>0.2</v>
      </c>
      <c r="H42" s="199" t="str">
        <f>IF(I9&gt;0,H9,"-")</f>
        <v>-</v>
      </c>
      <c r="I42" s="200" t="e">
        <f>IF(I9&gt;0,I9,NA())</f>
        <v>#N/A</v>
      </c>
      <c r="K42" s="199" t="str">
        <f t="shared" si="1"/>
        <v>Level 5-6</v>
      </c>
      <c r="L42" s="200" t="e">
        <f t="shared" si="2"/>
        <v>#N/A</v>
      </c>
      <c r="M42" s="3"/>
      <c r="N42" s="3"/>
      <c r="O42" s="3"/>
      <c r="P42" s="3"/>
      <c r="Q42" s="3"/>
      <c r="R42" s="3"/>
      <c r="S42" s="3" t="str">
        <v>Microcredential - Farm production fundamentals - L3</v>
      </c>
      <c r="T42" s="208" t="str" cm="1">
        <f t="array" ref="T42">INDEX(training_programme_data_table,MATCH($S42,training_programme_list,0),_xlfn.XLOOKUP(T$4,'Training programme data entry'!$A:$A,'Training programme data entry'!$B:$B))</f>
        <v>Food and fibre training group</v>
      </c>
      <c r="U42" s="208" cm="1">
        <f t="array" ref="U42">INDEX(training_programme_data_table,MATCH($S42,training_programme_list,0),_xlfn.XLOOKUP(U$4,'Training programme data entry'!$A:$A,'Training programme data entry'!$B:$B))</f>
        <v>19098.997956797499</v>
      </c>
      <c r="V42" s="208" cm="1">
        <f t="array" ref="V42">INDEX(training_programme_data_table,MATCH($S42,training_programme_list,0),_xlfn.XLOOKUP(V$4,'Training programme data entry'!$A:$A,'Training programme data entry'!$B:$B))</f>
        <v>67256.4366575022</v>
      </c>
      <c r="W42" s="207">
        <f>U42*'Outcome weighting'!$A$32 + 'Dashboard chart data'!V42*'Outcome weighting'!$B$32</f>
        <v>86355.434614299695</v>
      </c>
      <c r="X42" s="208" cm="1">
        <f t="array" ref="X42">INDEX(training_programme_data_table,MATCH($S42,training_programme_list,0),_xlfn.XLOOKUP(X$4,'Training programme data entry'!$A:$A,'Training programme data entry'!$B:$B))</f>
        <v>3890</v>
      </c>
      <c r="Y42" s="208">
        <f t="shared" si="0"/>
        <v>22.199340517814832</v>
      </c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</row>
    <row r="43" spans="2:131" ht="15" customHeight="1" x14ac:dyDescent="0.5">
      <c r="C43" s="198"/>
      <c r="K43" s="199" t="str">
        <f t="shared" si="1"/>
        <v>Level 7+</v>
      </c>
      <c r="L43" s="200">
        <f t="shared" si="2"/>
        <v>0.05</v>
      </c>
      <c r="M43" s="3"/>
      <c r="N43" s="3"/>
      <c r="O43" s="3"/>
      <c r="P43" s="3"/>
      <c r="Q43" s="3"/>
      <c r="R43" s="3"/>
      <c r="S43" s="3" t="str">
        <v>xxx3</v>
      </c>
      <c r="T43" s="208" t="str" cm="1">
        <f t="array" ref="T43">INDEX(training_programme_data_table,MATCH($S43,training_programme_list,0),_xlfn.XLOOKUP(T$4,'Training programme data entry'!$A:$A,'Training programme data entry'!$B:$B))</f>
        <v>Dummy</v>
      </c>
      <c r="U43" s="208" cm="1">
        <f t="array" ref="U43">INDEX(training_programme_data_table,MATCH($S43,training_programme_list,0),_xlfn.XLOOKUP(U$4,'Training programme data entry'!$A:$A,'Training programme data entry'!$B:$B))</f>
        <v>47860.871440789902</v>
      </c>
      <c r="V43" s="208" cm="1">
        <f t="array" ref="V43">INDEX(training_programme_data_table,MATCH($S43,training_programme_list,0),_xlfn.XLOOKUP(V$4,'Training programme data entry'!$A:$A,'Training programme data entry'!$B:$B))</f>
        <v>20575.713839378699</v>
      </c>
      <c r="W43" s="207">
        <f>U43*'Outcome weighting'!$A$32 + 'Dashboard chart data'!V43*'Outcome weighting'!$B$32</f>
        <v>68436.585280168598</v>
      </c>
      <c r="X43" s="208" cm="1">
        <f t="array" ref="X43">INDEX(training_programme_data_table,MATCH($S43,training_programme_list,0),_xlfn.XLOOKUP(X$4,'Training programme data entry'!$A:$A,'Training programme data entry'!$B:$B))</f>
        <v>937.32959356422805</v>
      </c>
      <c r="Y43" s="208">
        <f t="shared" si="0"/>
        <v>73.012295514895811</v>
      </c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</row>
    <row r="44" spans="2:131" ht="15" customHeight="1" x14ac:dyDescent="0.5">
      <c r="C44" s="198"/>
      <c r="M44" s="3"/>
      <c r="N44" s="3"/>
      <c r="O44" s="3"/>
      <c r="P44" s="3"/>
      <c r="Q44" s="3"/>
      <c r="R44" s="3"/>
      <c r="S44" s="3"/>
      <c r="T44" s="3"/>
      <c r="U44" s="208"/>
      <c r="V44" s="208"/>
      <c r="W44" s="207"/>
      <c r="X44" s="208"/>
      <c r="Y44" s="208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</row>
    <row r="45" spans="2:131" ht="15" customHeight="1" x14ac:dyDescent="0.5">
      <c r="C45" s="198"/>
      <c r="M45" s="3"/>
      <c r="N45" s="3"/>
      <c r="O45" s="3"/>
      <c r="P45" s="3"/>
      <c r="Q45" s="3"/>
      <c r="R45" s="3"/>
      <c r="S45" s="3"/>
      <c r="T45" s="3"/>
      <c r="U45" s="208"/>
      <c r="V45" s="208"/>
      <c r="W45" s="207"/>
      <c r="X45" s="208"/>
      <c r="Y45" s="208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</row>
    <row r="46" spans="2:131" ht="15" customHeight="1" x14ac:dyDescent="0.5">
      <c r="C46" s="198"/>
      <c r="M46" s="3"/>
      <c r="N46" s="3"/>
      <c r="O46" s="3"/>
      <c r="P46" s="3"/>
      <c r="Q46" s="3"/>
      <c r="R46" s="3"/>
      <c r="S46" s="3"/>
      <c r="T46" s="3"/>
      <c r="U46" s="208"/>
      <c r="V46" s="208"/>
      <c r="W46" s="207"/>
      <c r="X46" s="208"/>
      <c r="Y46" s="208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</row>
    <row r="47" spans="2:131" ht="15" customHeight="1" x14ac:dyDescent="0.5">
      <c r="C47" s="198"/>
      <c r="M47" s="3"/>
      <c r="N47" s="3"/>
      <c r="O47" s="3"/>
      <c r="P47" s="3"/>
      <c r="Q47" s="3"/>
      <c r="R47" s="3"/>
      <c r="S47" s="3"/>
      <c r="T47" s="3"/>
      <c r="U47" s="208"/>
      <c r="V47" s="208"/>
      <c r="W47" s="207"/>
      <c r="X47" s="208"/>
      <c r="Y47" s="208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</row>
    <row r="48" spans="2:131" ht="15" customHeight="1" x14ac:dyDescent="0.5">
      <c r="C48" s="198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</row>
    <row r="49" spans="3:131" ht="15" customHeight="1" x14ac:dyDescent="0.5">
      <c r="C49" s="198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</row>
    <row r="50" spans="3:131" ht="15" customHeight="1" x14ac:dyDescent="0.5">
      <c r="C50" s="198"/>
      <c r="M50" s="3"/>
      <c r="N50" s="3"/>
      <c r="O50" s="3"/>
      <c r="P50" s="3"/>
      <c r="Q50" s="3"/>
      <c r="R50" s="3"/>
      <c r="S50" s="3" t="str" cm="1">
        <f t="array" ref="S50:Y87">_xlfn._xlws.SORT(S6:Y43,7,-1)</f>
        <v>Farm Environment Planning Micro-credential</v>
      </c>
      <c r="T50" s="3" t="str">
        <v>Primary ITO</v>
      </c>
      <c r="U50" s="208">
        <v>274888.62978196301</v>
      </c>
      <c r="V50" s="208">
        <v>33499.087476505803</v>
      </c>
      <c r="W50" s="208">
        <v>308387.71725846879</v>
      </c>
      <c r="X50" s="208">
        <v>1546.6666666666699</v>
      </c>
      <c r="Y50" s="205">
        <v>199.38861029642337</v>
      </c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</row>
    <row r="51" spans="3:131" ht="15" customHeight="1" x14ac:dyDescent="0.5">
      <c r="C51" s="198"/>
      <c r="M51" s="3"/>
      <c r="N51" s="3"/>
      <c r="O51" s="3"/>
      <c r="P51" s="3"/>
      <c r="Q51" s="3"/>
      <c r="R51" s="3"/>
      <c r="S51" s="3" t="str">
        <v>Business by the numbers</v>
      </c>
      <c r="T51" s="3" t="str">
        <v>Dairy Training Limited</v>
      </c>
      <c r="U51" s="208">
        <v>369295.85517025599</v>
      </c>
      <c r="V51" s="208">
        <v>40332.526282504798</v>
      </c>
      <c r="W51" s="208">
        <v>409628.38145276078</v>
      </c>
      <c r="X51" s="208">
        <v>2458.8354271080798</v>
      </c>
      <c r="Y51" s="205">
        <v>166.59446864019634</v>
      </c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</row>
    <row r="52" spans="3:131" ht="15" customHeight="1" x14ac:dyDescent="0.5">
      <c r="C52" s="198"/>
      <c r="M52" s="3"/>
      <c r="N52" s="3"/>
      <c r="O52" s="3"/>
      <c r="P52" s="3"/>
      <c r="Q52" s="3"/>
      <c r="R52" s="3"/>
      <c r="S52" s="3" t="str">
        <v>Microcredential - Agribusiness budgeting - L5</v>
      </c>
      <c r="T52" s="3" t="str">
        <v>Food and fibre training group</v>
      </c>
      <c r="U52" s="208">
        <v>369295.85517025599</v>
      </c>
      <c r="V52" s="208">
        <v>40332.526282504798</v>
      </c>
      <c r="W52" s="208">
        <v>409628.38145276078</v>
      </c>
      <c r="X52" s="208">
        <v>2458.8354271080798</v>
      </c>
      <c r="Y52" s="205">
        <v>166.59446864019634</v>
      </c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</row>
    <row r="53" spans="3:131" ht="15" customHeight="1" x14ac:dyDescent="0.5">
      <c r="C53" s="198"/>
      <c r="M53" s="3"/>
      <c r="N53" s="3"/>
      <c r="O53" s="3"/>
      <c r="P53" s="3"/>
      <c r="Q53" s="3"/>
      <c r="R53" s="3"/>
      <c r="S53" s="3" t="str">
        <v>Farm Environment Planning</v>
      </c>
      <c r="T53" s="3" t="str">
        <v>Dairy Training Limited</v>
      </c>
      <c r="U53" s="208">
        <v>492903.174633983</v>
      </c>
      <c r="V53" s="208">
        <v>41521.052248799198</v>
      </c>
      <c r="W53" s="208">
        <v>534424.22688278218</v>
      </c>
      <c r="X53" s="208">
        <v>3937.4104553267698</v>
      </c>
      <c r="Y53" s="205">
        <v>135.72987448128004</v>
      </c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</row>
    <row r="54" spans="3:131" ht="15" customHeight="1" x14ac:dyDescent="0.5">
      <c r="C54" s="198"/>
      <c r="M54" s="3"/>
      <c r="N54" s="3"/>
      <c r="O54" s="3"/>
      <c r="P54" s="3"/>
      <c r="Q54" s="3"/>
      <c r="R54" s="3"/>
      <c r="S54" s="3" t="str">
        <v>Managing milk harvesting – Micro-credential</v>
      </c>
      <c r="T54" s="3" t="str">
        <v>Primary ITO</v>
      </c>
      <c r="U54" s="208">
        <v>157056.45235590701</v>
      </c>
      <c r="V54" s="208">
        <v>33689.565960607797</v>
      </c>
      <c r="W54" s="208">
        <v>190746.01831651479</v>
      </c>
      <c r="X54" s="208">
        <v>1488.6666666666699</v>
      </c>
      <c r="Y54" s="205">
        <v>128.13212157401324</v>
      </c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</row>
    <row r="55" spans="3:131" ht="15" customHeight="1" x14ac:dyDescent="0.5">
      <c r="C55" s="198"/>
      <c r="M55" s="3"/>
      <c r="N55" s="3"/>
      <c r="O55" s="3"/>
      <c r="P55" s="3"/>
      <c r="Q55" s="3"/>
      <c r="R55" s="3"/>
      <c r="S55" s="3" t="str">
        <v>BizGrow</v>
      </c>
      <c r="T55" s="3" t="str">
        <v>Dairy Training Limited</v>
      </c>
      <c r="U55" s="208">
        <v>369470.21741725202</v>
      </c>
      <c r="V55" s="208">
        <v>40332.526282504798</v>
      </c>
      <c r="W55" s="208">
        <v>409802.7436997568</v>
      </c>
      <c r="X55" s="208">
        <v>3596.8360206714301</v>
      </c>
      <c r="Y55" s="205">
        <v>113.93423034705316</v>
      </c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</row>
    <row r="56" spans="3:131" ht="15" customHeight="1" x14ac:dyDescent="0.5">
      <c r="C56" s="198"/>
      <c r="M56" s="3"/>
      <c r="N56" s="3"/>
      <c r="O56" s="3"/>
      <c r="P56" s="3"/>
      <c r="Q56" s="3"/>
      <c r="R56" s="3"/>
      <c r="S56" s="3" t="str">
        <v>BizStart</v>
      </c>
      <c r="T56" s="3" t="str">
        <v>Dairy Training Limited</v>
      </c>
      <c r="U56" s="208">
        <v>254789.13860097699</v>
      </c>
      <c r="V56" s="208">
        <v>40332.526282504798</v>
      </c>
      <c r="W56" s="208">
        <v>295121.6648834818</v>
      </c>
      <c r="X56" s="208">
        <v>3596.8360206714301</v>
      </c>
      <c r="Y56" s="205">
        <v>82.050352917782092</v>
      </c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</row>
    <row r="57" spans="3:131" ht="15" customHeight="1" x14ac:dyDescent="0.5">
      <c r="C57" s="198"/>
      <c r="M57" s="3"/>
      <c r="N57" s="3"/>
      <c r="O57" s="3"/>
      <c r="P57" s="3"/>
      <c r="Q57" s="3"/>
      <c r="R57" s="3"/>
      <c r="S57" s="3" t="str">
        <v>Contract milking 101</v>
      </c>
      <c r="T57" s="3" t="str">
        <v>Dairy Training Limited</v>
      </c>
      <c r="U57" s="208">
        <v>155092.72287827701</v>
      </c>
      <c r="V57" s="208">
        <v>41190.665139579403</v>
      </c>
      <c r="W57" s="208">
        <v>196283.3880178564</v>
      </c>
      <c r="X57" s="208">
        <v>2410.6211413937899</v>
      </c>
      <c r="Y57" s="205">
        <v>81.42440329896381</v>
      </c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</row>
    <row r="58" spans="3:131" ht="15" customHeight="1" x14ac:dyDescent="0.5">
      <c r="C58" s="198"/>
      <c r="M58" s="3"/>
      <c r="N58" s="3"/>
      <c r="O58" s="3"/>
      <c r="P58" s="3"/>
      <c r="Q58" s="3"/>
      <c r="R58" s="3"/>
      <c r="S58" s="3" t="str">
        <v>Microcredential - Stepping into self-employment - L5</v>
      </c>
      <c r="T58" s="3" t="str">
        <v>Food and fibre training group</v>
      </c>
      <c r="U58" s="208">
        <v>155092.72287827701</v>
      </c>
      <c r="V58" s="208">
        <v>41190.665139579403</v>
      </c>
      <c r="W58" s="208">
        <v>196283.3880178564</v>
      </c>
      <c r="X58" s="208">
        <v>2410.6211413937899</v>
      </c>
      <c r="Y58" s="208">
        <v>81.42440329896381</v>
      </c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</row>
    <row r="59" spans="3:131" ht="15" customHeight="1" x14ac:dyDescent="0.5">
      <c r="C59" s="198"/>
      <c r="M59" s="3"/>
      <c r="N59" s="3"/>
      <c r="O59" s="3"/>
      <c r="P59" s="3"/>
      <c r="Q59" s="3"/>
      <c r="R59" s="3"/>
      <c r="S59" s="3" t="str">
        <v>xxx3</v>
      </c>
      <c r="T59" s="3" t="str">
        <v>Dummy</v>
      </c>
      <c r="U59" s="208">
        <v>47860.871440789902</v>
      </c>
      <c r="V59" s="208">
        <v>20575.713839378699</v>
      </c>
      <c r="W59" s="208">
        <v>68436.585280168598</v>
      </c>
      <c r="X59" s="208">
        <v>937.32959356422805</v>
      </c>
      <c r="Y59" s="208">
        <v>73.012295514895811</v>
      </c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</row>
    <row r="60" spans="3:131" ht="15" customHeight="1" x14ac:dyDescent="0.5">
      <c r="C60" s="198"/>
      <c r="M60" s="3"/>
      <c r="N60" s="3"/>
      <c r="O60" s="3"/>
      <c r="P60" s="3"/>
      <c r="Q60" s="3"/>
      <c r="R60" s="3"/>
      <c r="S60" s="3" t="str">
        <v>Assist with Milk Harvesting and Optimising Milk Quality – Micro-credential</v>
      </c>
      <c r="T60" s="3" t="str">
        <v>Primary ITO</v>
      </c>
      <c r="U60" s="208">
        <v>20575.158031295901</v>
      </c>
      <c r="V60" s="208">
        <v>67256.4366575022</v>
      </c>
      <c r="W60" s="208">
        <v>87831.594688798097</v>
      </c>
      <c r="X60" s="208">
        <v>2632.6666666666702</v>
      </c>
      <c r="Y60" s="208">
        <v>33.362216265686747</v>
      </c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</row>
    <row r="61" spans="3:131" ht="15" customHeight="1" x14ac:dyDescent="0.5">
      <c r="C61" s="198"/>
      <c r="M61" s="3"/>
      <c r="N61" s="3"/>
      <c r="O61" s="3"/>
      <c r="P61" s="3"/>
      <c r="Q61" s="3"/>
      <c r="R61" s="3"/>
      <c r="S61" s="3" t="str">
        <v>Reference training programme</v>
      </c>
      <c r="T61" s="3" t="str">
        <v>Reference</v>
      </c>
      <c r="U61" s="208">
        <v>423371.60771265702</v>
      </c>
      <c r="V61" s="208">
        <v>102812.5</v>
      </c>
      <c r="W61" s="208">
        <v>526184.10771265696</v>
      </c>
      <c r="X61" s="208">
        <v>21447.047863043001</v>
      </c>
      <c r="Y61" s="208">
        <v>24.53410423069759</v>
      </c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</row>
    <row r="62" spans="3:131" ht="15" customHeight="1" x14ac:dyDescent="0.5">
      <c r="S62" s="3" t="str">
        <v>Livestock Feed Supply and Demand – Micro-credential</v>
      </c>
      <c r="T62" s="3" t="str">
        <v>Primary ITO</v>
      </c>
      <c r="U62" s="208">
        <v>19098.997956797499</v>
      </c>
      <c r="V62" s="208">
        <v>67256.4366575022</v>
      </c>
      <c r="W62" s="208">
        <v>86355.434614299695</v>
      </c>
      <c r="X62" s="208">
        <v>3890</v>
      </c>
      <c r="Y62" s="208">
        <v>22.199340517814832</v>
      </c>
      <c r="Z62" s="3"/>
    </row>
    <row r="63" spans="3:131" ht="15" customHeight="1" x14ac:dyDescent="0.5">
      <c r="S63" s="3" t="str">
        <v>Microcredential - Farm production fundamentals - L3</v>
      </c>
      <c r="T63" s="3" t="str">
        <v>Food and fibre training group</v>
      </c>
      <c r="U63" s="208">
        <v>19098.997956797499</v>
      </c>
      <c r="V63" s="208">
        <v>67256.4366575022</v>
      </c>
      <c r="W63" s="208">
        <v>86355.434614299695</v>
      </c>
      <c r="X63" s="208">
        <v>3890</v>
      </c>
      <c r="Y63" s="208">
        <v>22.199340517814832</v>
      </c>
      <c r="Z63" s="3"/>
    </row>
    <row r="64" spans="3:131" ht="15" customHeight="1" x14ac:dyDescent="0.5">
      <c r="S64" s="3" t="str">
        <v>Certificate - Farm skills - L3</v>
      </c>
      <c r="T64" s="3" t="str">
        <v>Food and fibre training group</v>
      </c>
      <c r="U64" s="208">
        <v>11710.542444721599</v>
      </c>
      <c r="V64" s="208">
        <v>45675</v>
      </c>
      <c r="W64" s="208">
        <v>57385.542444721599</v>
      </c>
      <c r="X64" s="208">
        <v>3157.36427781783</v>
      </c>
      <c r="Y64" s="208">
        <v>18.175141477302976</v>
      </c>
      <c r="Z64" s="3"/>
    </row>
    <row r="65" spans="19:26" ht="15" customHeight="1" x14ac:dyDescent="0.5">
      <c r="S65" s="3" t="str">
        <v>New Zealand Apprenticeship in Agriculture - Dairy Farming</v>
      </c>
      <c r="T65" s="3" t="str">
        <v>Primary ITO</v>
      </c>
      <c r="U65" s="208">
        <v>61642.513217021798</v>
      </c>
      <c r="V65" s="208">
        <v>87974.145682151706</v>
      </c>
      <c r="W65" s="208">
        <v>149616.65889917349</v>
      </c>
      <c r="X65" s="208">
        <v>10860</v>
      </c>
      <c r="Y65" s="208">
        <v>13.776856252225921</v>
      </c>
      <c r="Z65" s="3"/>
    </row>
    <row r="66" spans="19:26" ht="15" customHeight="1" x14ac:dyDescent="0.5">
      <c r="S66" s="3" t="str">
        <v>Apprenticeship - Food and fibre production - L3+4</v>
      </c>
      <c r="T66" s="3" t="str">
        <v>Food and fibre training group</v>
      </c>
      <c r="U66" s="208">
        <v>38871.455446285901</v>
      </c>
      <c r="V66" s="208">
        <v>102069.27315402401</v>
      </c>
      <c r="W66" s="208">
        <v>140940.7286003099</v>
      </c>
      <c r="X66" s="208">
        <v>15090</v>
      </c>
      <c r="Y66" s="208">
        <v>9.3400085222206695</v>
      </c>
      <c r="Z66" s="3"/>
    </row>
    <row r="67" spans="19:26" ht="15" customHeight="1" x14ac:dyDescent="0.5">
      <c r="S67" s="3" t="str">
        <v>New Zealand Apprenticeship in Fruit Production</v>
      </c>
      <c r="T67" s="3" t="str">
        <v>Primary ITO</v>
      </c>
      <c r="U67" s="208">
        <v>26278.941657624298</v>
      </c>
      <c r="V67" s="208">
        <v>102069.27315402401</v>
      </c>
      <c r="W67" s="208">
        <v>128348.2148116483</v>
      </c>
      <c r="X67" s="208">
        <v>15090</v>
      </c>
      <c r="Y67" s="208">
        <v>8.5055145667096284</v>
      </c>
      <c r="Z67" s="3"/>
    </row>
    <row r="68" spans="19:26" ht="15" customHeight="1" x14ac:dyDescent="0.5">
      <c r="S68" s="3" t="str">
        <v>Introduction to dairy farming</v>
      </c>
      <c r="T68" s="3" t="str">
        <v>Dairy Training Limited</v>
      </c>
      <c r="U68" s="208">
        <v>18882.941947429001</v>
      </c>
      <c r="V68" s="208">
        <v>41171.738736225299</v>
      </c>
      <c r="W68" s="208">
        <v>60054.680683654296</v>
      </c>
      <c r="X68" s="208">
        <v>8214.3419158930392</v>
      </c>
      <c r="Y68" s="208">
        <v>7.310954583891986</v>
      </c>
      <c r="Z68" s="3"/>
    </row>
    <row r="69" spans="19:26" ht="15" customHeight="1" x14ac:dyDescent="0.5">
      <c r="S69" s="3" t="str">
        <v>Certificate - Introduction to farming - L2</v>
      </c>
      <c r="T69" s="3" t="str">
        <v>Food and fibre training group</v>
      </c>
      <c r="U69" s="208">
        <v>18882.941947429001</v>
      </c>
      <c r="V69" s="208">
        <v>41171.738736225299</v>
      </c>
      <c r="W69" s="208">
        <v>60054.680683654296</v>
      </c>
      <c r="X69" s="208">
        <v>8214.3419158930392</v>
      </c>
      <c r="Y69" s="208">
        <v>7.310954583891986</v>
      </c>
      <c r="Z69" s="3"/>
    </row>
    <row r="70" spans="19:26" ht="15" customHeight="1" x14ac:dyDescent="0.5">
      <c r="S70" s="3" t="str">
        <v>Dummy 1</v>
      </c>
      <c r="T70" s="3" t="str">
        <v>Dummy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/>
    </row>
    <row r="71" spans="19:26" ht="15" customHeight="1" x14ac:dyDescent="0.5">
      <c r="S71" s="3" t="str">
        <v>Dummy 2</v>
      </c>
      <c r="T71" s="3" t="str">
        <v>Dummy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/>
    </row>
    <row r="72" spans="19:26" ht="15" customHeight="1" x14ac:dyDescent="0.5">
      <c r="S72" s="3" t="str">
        <v>Dummy 3</v>
      </c>
      <c r="T72" s="3" t="str">
        <v>Dummy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/>
    </row>
    <row r="73" spans="19:26" ht="15" customHeight="1" x14ac:dyDescent="0.5">
      <c r="S73" s="3" t="str">
        <v>Dummy 4</v>
      </c>
      <c r="T73" s="3" t="str">
        <v>Dummy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/>
    </row>
    <row r="74" spans="19:26" ht="15" customHeight="1" x14ac:dyDescent="0.5">
      <c r="S74" s="3" t="str">
        <v>Dummy 5</v>
      </c>
      <c r="T74" s="3" t="str">
        <v>Dummy</v>
      </c>
      <c r="U74" s="3">
        <v>0</v>
      </c>
      <c r="V74" s="3">
        <v>0</v>
      </c>
      <c r="W74" s="3">
        <v>0</v>
      </c>
      <c r="X74" s="3">
        <v>0</v>
      </c>
      <c r="Y74" s="3">
        <v>0</v>
      </c>
      <c r="Z74" s="3"/>
    </row>
    <row r="75" spans="19:26" ht="15" customHeight="1" x14ac:dyDescent="0.5">
      <c r="S75" s="3" t="str">
        <v>Dummy 6</v>
      </c>
      <c r="T75" s="3" t="str">
        <v>Dummy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/>
    </row>
    <row r="76" spans="19:26" ht="15" customHeight="1" x14ac:dyDescent="0.5">
      <c r="S76" s="3" t="str">
        <v>Dummy 7</v>
      </c>
      <c r="T76" s="3" t="str">
        <v>Dummy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/>
    </row>
    <row r="77" spans="19:26" ht="15" customHeight="1" x14ac:dyDescent="0.5">
      <c r="S77" s="3" t="str">
        <v>Dummy 8</v>
      </c>
      <c r="T77" s="3" t="str">
        <v>Dummy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/>
    </row>
    <row r="78" spans="19:26" ht="15" customHeight="1" x14ac:dyDescent="0.5">
      <c r="S78" s="3" t="str">
        <v>Dummy 9</v>
      </c>
      <c r="T78" s="3" t="str">
        <v>Dummy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/>
    </row>
    <row r="79" spans="19:26" ht="15" customHeight="1" x14ac:dyDescent="0.5">
      <c r="S79" s="3" t="str">
        <v>Dummy 10</v>
      </c>
      <c r="T79" s="3" t="str">
        <v>Dummy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/>
    </row>
    <row r="80" spans="19:26" ht="15" customHeight="1" x14ac:dyDescent="0.5">
      <c r="S80" s="3" t="str">
        <v>Dummy 11</v>
      </c>
      <c r="T80" s="3" t="str">
        <v>Dummy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/>
    </row>
    <row r="81" spans="19:26" ht="15" customHeight="1" x14ac:dyDescent="0.5">
      <c r="S81" s="3" t="str">
        <v>Dummy 12</v>
      </c>
      <c r="T81" s="3" t="str">
        <v>Dummy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/>
    </row>
    <row r="82" spans="19:26" ht="15" customHeight="1" x14ac:dyDescent="0.5">
      <c r="S82" s="3" t="str">
        <v>Dummy 13</v>
      </c>
      <c r="T82" s="3" t="str">
        <v>Dummy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/>
    </row>
    <row r="83" spans="19:26" ht="15" customHeight="1" x14ac:dyDescent="0.5">
      <c r="S83" s="3" t="str">
        <v>Dummy 14</v>
      </c>
      <c r="T83" s="3" t="str">
        <v>Dummy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/>
    </row>
    <row r="84" spans="19:26" ht="15" customHeight="1" x14ac:dyDescent="0.5">
      <c r="S84" s="192" t="str">
        <v>Dummy 15</v>
      </c>
      <c r="T84" s="192" t="str">
        <v>Dummy</v>
      </c>
      <c r="U84" s="192">
        <v>0</v>
      </c>
      <c r="V84" s="192">
        <v>0</v>
      </c>
      <c r="W84" s="192">
        <v>0</v>
      </c>
      <c r="X84" s="192">
        <v>0</v>
      </c>
      <c r="Y84" s="192">
        <v>0</v>
      </c>
    </row>
    <row r="85" spans="19:26" ht="15" customHeight="1" x14ac:dyDescent="0.5">
      <c r="S85" s="192" t="str">
        <v>Dummy 16</v>
      </c>
      <c r="T85" s="192" t="str">
        <v>Dummy</v>
      </c>
      <c r="U85" s="192">
        <v>0</v>
      </c>
      <c r="V85" s="192">
        <v>0</v>
      </c>
      <c r="W85" s="192">
        <v>0</v>
      </c>
      <c r="X85" s="192">
        <v>0</v>
      </c>
      <c r="Y85" s="192">
        <v>0</v>
      </c>
    </row>
    <row r="86" spans="19:26" ht="15" customHeight="1" x14ac:dyDescent="0.5">
      <c r="S86" s="192" t="str">
        <v>Dummy 17</v>
      </c>
      <c r="T86" s="192" t="str">
        <v>Dummy</v>
      </c>
      <c r="U86" s="192">
        <v>0</v>
      </c>
      <c r="V86" s="192">
        <v>0</v>
      </c>
      <c r="W86" s="192">
        <v>0</v>
      </c>
      <c r="X86" s="192">
        <v>0</v>
      </c>
      <c r="Y86" s="192">
        <v>0</v>
      </c>
    </row>
    <row r="87" spans="19:26" ht="15" customHeight="1" x14ac:dyDescent="0.5">
      <c r="S87" s="192" t="str">
        <v>Dummy 18</v>
      </c>
      <c r="T87" s="192" t="str">
        <v>Dummy</v>
      </c>
      <c r="U87" s="192">
        <v>0</v>
      </c>
      <c r="V87" s="192">
        <v>0</v>
      </c>
      <c r="W87" s="192">
        <v>0</v>
      </c>
      <c r="X87" s="192">
        <v>0</v>
      </c>
      <c r="Y87" s="192">
        <v>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4D3AA-9347-45EC-BB2F-559F6197E19E}">
  <sheetPr codeName="Sheet11">
    <tabColor theme="7"/>
  </sheetPr>
  <dimension ref="A1:EP70"/>
  <sheetViews>
    <sheetView zoomScale="160" zoomScaleNormal="160" workbookViewId="0">
      <selection activeCell="BR8" sqref="BR8"/>
    </sheetView>
  </sheetViews>
  <sheetFormatPr defaultColWidth="2.7890625" defaultRowHeight="15" customHeight="1" x14ac:dyDescent="0.5"/>
  <cols>
    <col min="1" max="1" width="2.7890625" style="3"/>
    <col min="2" max="2" width="3" style="3" customWidth="1"/>
    <col min="3" max="7" width="2.7890625" style="3"/>
    <col min="8" max="8" width="2.7890625" style="3" customWidth="1"/>
    <col min="9" max="12" width="2.7890625" style="3"/>
    <col min="13" max="13" width="2.734375" style="3" customWidth="1"/>
    <col min="14" max="29" width="2.7890625" style="3"/>
    <col min="30" max="71" width="2.7890625" style="192"/>
    <col min="72" max="16384" width="2.7890625" style="3"/>
  </cols>
  <sheetData>
    <row r="1" spans="1:146" s="84" customFormat="1" ht="15" customHeight="1" x14ac:dyDescent="0.55000000000000004">
      <c r="A1" s="202"/>
      <c r="B1" s="202"/>
      <c r="C1" s="202"/>
      <c r="D1" s="202"/>
      <c r="E1" s="88" t="s">
        <v>439</v>
      </c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102"/>
      <c r="AH1" s="261" t="s">
        <v>438</v>
      </c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1"/>
      <c r="AZ1" s="261"/>
      <c r="BA1" s="261"/>
      <c r="BB1" s="261"/>
      <c r="BC1" s="261"/>
      <c r="BD1" s="261"/>
      <c r="BE1" s="261"/>
      <c r="BF1" s="261"/>
      <c r="BG1" s="261"/>
      <c r="BH1" s="261"/>
      <c r="BI1" s="261"/>
      <c r="BJ1" s="261"/>
      <c r="BK1" s="261"/>
      <c r="BL1" s="261"/>
      <c r="BM1" s="261"/>
      <c r="BN1" s="194"/>
      <c r="BO1" s="194"/>
      <c r="BP1" s="194"/>
      <c r="BQ1" s="194"/>
      <c r="BR1" s="194"/>
      <c r="BS1" s="194"/>
      <c r="BT1" s="194"/>
      <c r="BU1" s="194"/>
      <c r="BV1" s="194"/>
      <c r="BW1" s="194"/>
      <c r="BX1" s="194"/>
      <c r="BY1" s="194"/>
      <c r="BZ1" s="194"/>
      <c r="CA1" s="194"/>
      <c r="CB1" s="194"/>
      <c r="CC1" s="194"/>
      <c r="CD1" s="194"/>
      <c r="CE1" s="194"/>
      <c r="CF1" s="194"/>
      <c r="CG1" s="194"/>
      <c r="CH1" s="194"/>
      <c r="CI1" s="223"/>
      <c r="CJ1" s="223"/>
      <c r="CK1" s="194"/>
      <c r="CL1" s="194"/>
      <c r="CM1" s="194"/>
      <c r="CN1" s="194"/>
      <c r="CO1" s="194"/>
      <c r="CP1" s="194"/>
      <c r="CQ1" s="194"/>
      <c r="CR1" s="194"/>
      <c r="CS1" s="194"/>
      <c r="CT1" s="194"/>
      <c r="CU1" s="194"/>
      <c r="CV1" s="194"/>
      <c r="CW1" s="194"/>
      <c r="CX1" s="194"/>
      <c r="CY1" s="194"/>
      <c r="CZ1" s="194"/>
      <c r="DA1" s="194"/>
      <c r="DB1" s="194"/>
      <c r="DC1" s="194"/>
      <c r="DD1" s="194"/>
      <c r="DE1" s="194"/>
      <c r="DF1" s="194"/>
      <c r="DG1" s="194"/>
      <c r="DH1" s="194"/>
      <c r="DI1" s="194"/>
      <c r="DJ1" s="194"/>
      <c r="DK1" s="194"/>
      <c r="DL1" s="194"/>
      <c r="DM1" s="194"/>
      <c r="DN1" s="194"/>
      <c r="DO1" s="194"/>
      <c r="DP1" s="194"/>
      <c r="DQ1" s="194"/>
      <c r="DR1" s="194"/>
      <c r="DS1" s="194"/>
      <c r="DT1" s="194"/>
      <c r="DU1" s="194"/>
      <c r="DV1" s="194"/>
      <c r="DW1" s="194"/>
      <c r="DX1" s="194"/>
      <c r="DY1" s="194"/>
      <c r="DZ1" s="194"/>
      <c r="EA1" s="194"/>
      <c r="EB1" s="194"/>
      <c r="EC1" s="194"/>
      <c r="ED1" s="194"/>
      <c r="EE1" s="194"/>
      <c r="EF1" s="194"/>
      <c r="EG1" s="194"/>
      <c r="EH1" s="194"/>
      <c r="EI1" s="194"/>
      <c r="EJ1" s="194"/>
      <c r="EK1" s="194"/>
      <c r="EL1" s="194"/>
      <c r="EM1" s="194"/>
      <c r="EN1" s="194"/>
      <c r="EO1" s="194"/>
      <c r="EP1" s="194"/>
    </row>
    <row r="2" spans="1:146" s="192" customFormat="1" ht="15" customHeight="1" thickBot="1" x14ac:dyDescent="0.55000000000000004"/>
    <row r="3" spans="1:146" s="192" customFormat="1" ht="15" customHeight="1" x14ac:dyDescent="0.5">
      <c r="B3" s="211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H3" s="211"/>
      <c r="AI3" s="212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2"/>
      <c r="AW3" s="212"/>
      <c r="AX3" s="212"/>
      <c r="AY3" s="212"/>
      <c r="AZ3" s="212"/>
      <c r="BA3" s="212"/>
      <c r="BB3" s="212"/>
      <c r="BC3" s="212"/>
      <c r="BD3" s="212"/>
      <c r="BE3" s="212"/>
      <c r="BF3" s="212"/>
      <c r="BG3" s="212"/>
      <c r="BH3" s="212"/>
      <c r="BI3" s="212"/>
      <c r="BJ3" s="212"/>
      <c r="BK3" s="212"/>
      <c r="BL3" s="213"/>
      <c r="CI3" s="193"/>
      <c r="CJ3" s="193"/>
    </row>
    <row r="4" spans="1:146" s="192" customFormat="1" ht="15" customHeight="1" x14ac:dyDescent="0.5">
      <c r="B4" s="214"/>
      <c r="E4" s="274" t="s">
        <v>464</v>
      </c>
      <c r="F4" s="274"/>
      <c r="G4" s="274"/>
      <c r="H4" s="274"/>
      <c r="I4" s="274"/>
      <c r="J4" s="274"/>
      <c r="K4" s="274"/>
      <c r="L4" s="274"/>
      <c r="M4" s="272" t="s">
        <v>584</v>
      </c>
      <c r="N4" s="272"/>
      <c r="O4" s="272"/>
      <c r="P4" s="272"/>
      <c r="Q4" s="272"/>
      <c r="R4" s="272"/>
      <c r="S4" s="272"/>
      <c r="T4" s="272"/>
      <c r="U4" s="272"/>
      <c r="V4" s="272"/>
      <c r="W4" s="272"/>
      <c r="X4" s="272"/>
      <c r="Y4" s="272"/>
      <c r="Z4" s="272"/>
      <c r="AA4" s="272"/>
      <c r="AF4" s="216"/>
      <c r="AH4" s="214"/>
      <c r="AL4" s="268" t="s">
        <v>461</v>
      </c>
      <c r="AM4" s="268"/>
      <c r="AN4" s="268"/>
      <c r="AO4" s="268"/>
      <c r="AP4" s="268"/>
      <c r="AQ4" s="268"/>
      <c r="AR4" s="268"/>
      <c r="AS4" s="268"/>
      <c r="AT4" s="268"/>
      <c r="AU4" s="268"/>
      <c r="AV4" s="268"/>
      <c r="AW4" s="268"/>
      <c r="AX4" s="268"/>
      <c r="AY4" s="268"/>
      <c r="AZ4" s="268"/>
      <c r="BA4" s="268"/>
      <c r="BB4" s="269"/>
      <c r="BC4" s="269"/>
      <c r="BD4" s="269"/>
      <c r="BE4" s="269"/>
      <c r="BF4" s="269"/>
      <c r="BG4" s="269"/>
      <c r="BL4" s="216"/>
      <c r="CI4" s="217"/>
      <c r="CJ4" s="217"/>
    </row>
    <row r="5" spans="1:146" s="192" customFormat="1" ht="15" customHeight="1" x14ac:dyDescent="0.5">
      <c r="B5" s="214"/>
      <c r="E5" s="270" t="s">
        <v>318</v>
      </c>
      <c r="F5" s="270"/>
      <c r="G5" s="270"/>
      <c r="H5" s="270"/>
      <c r="I5" s="270"/>
      <c r="J5" s="270"/>
      <c r="K5" s="270"/>
      <c r="L5" s="270"/>
      <c r="M5" s="269" t="str" cm="1">
        <f t="array" ref="M5">INDEX(training_programme_data_table,MATCH($M$4,training_programme_list,0),_xlfn.XLOOKUP($E5,'Training programme data entry'!$A:$A,'Training programme data entry'!$B:$B))</f>
        <v>Food and fibre training group</v>
      </c>
      <c r="N5" s="269"/>
      <c r="O5" s="269"/>
      <c r="P5" s="269"/>
      <c r="Q5" s="269"/>
      <c r="R5" s="269"/>
      <c r="S5" s="269"/>
      <c r="T5" s="269"/>
      <c r="U5" s="269"/>
      <c r="V5" s="269"/>
      <c r="W5" s="269"/>
      <c r="X5" s="269"/>
      <c r="Y5" s="269"/>
      <c r="Z5" s="269"/>
      <c r="AA5" s="269"/>
      <c r="AF5" s="216"/>
      <c r="AH5" s="214"/>
      <c r="AL5" s="269" t="s">
        <v>443</v>
      </c>
      <c r="AM5" s="269"/>
      <c r="AN5" s="269"/>
      <c r="AO5" s="269"/>
      <c r="AP5" s="269"/>
      <c r="AQ5" s="269"/>
      <c r="AR5" s="269"/>
      <c r="AS5" s="269"/>
      <c r="AT5" s="269"/>
      <c r="AU5" s="269"/>
      <c r="AV5" s="269"/>
      <c r="AW5" s="269"/>
      <c r="AX5" s="269"/>
      <c r="AY5" s="269"/>
      <c r="AZ5" s="269"/>
      <c r="BA5" s="269"/>
      <c r="BB5" s="268" t="str">
        <f>'Dashboard chart data'!O6</f>
        <v>3,000 to 10,000</v>
      </c>
      <c r="BC5" s="268"/>
      <c r="BD5" s="268"/>
      <c r="BE5" s="268"/>
      <c r="BF5" s="268"/>
      <c r="BG5" s="268"/>
      <c r="BL5" s="216"/>
      <c r="CI5" s="218"/>
      <c r="CJ5" s="218"/>
    </row>
    <row r="6" spans="1:146" s="192" customFormat="1" ht="15" customHeight="1" x14ac:dyDescent="0.5">
      <c r="B6" s="214"/>
      <c r="E6" s="270" t="s">
        <v>316</v>
      </c>
      <c r="F6" s="270"/>
      <c r="G6" s="270"/>
      <c r="H6" s="270"/>
      <c r="I6" s="270"/>
      <c r="J6" s="270"/>
      <c r="K6" s="270"/>
      <c r="L6" s="270"/>
      <c r="M6" s="269" cm="1">
        <f t="array" ref="M6">INDEX(training_programme_data_table,MATCH($M$4,training_programme_list,0),_xlfn.XLOOKUP($E6,'Training programme data entry'!A:A,'Training programme data entry'!B:B))</f>
        <v>160</v>
      </c>
      <c r="N6" s="269"/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F6" s="216"/>
      <c r="AH6" s="214"/>
      <c r="AL6" s="269" t="s">
        <v>444</v>
      </c>
      <c r="AM6" s="269"/>
      <c r="AN6" s="269"/>
      <c r="AO6" s="269"/>
      <c r="AP6" s="269"/>
      <c r="AQ6" s="269"/>
      <c r="AR6" s="269"/>
      <c r="AS6" s="269"/>
      <c r="AT6" s="269"/>
      <c r="AU6" s="269"/>
      <c r="AV6" s="269"/>
      <c r="AW6" s="269"/>
      <c r="AX6" s="269"/>
      <c r="AY6" s="269"/>
      <c r="AZ6" s="269"/>
      <c r="BA6" s="269"/>
      <c r="BB6" s="275" cm="1">
        <f t="array" ref="BB6">INDEX(training_programme_data_table,MATCH($M$4,training_programme_list,0),_xlfn.XLOOKUP($AL6,'Training programme data entry'!$A:$A,'Training programme data entry'!$B:$B))</f>
        <v>8.9035478774315102</v>
      </c>
      <c r="BC6" s="275"/>
      <c r="BD6" s="275"/>
      <c r="BE6" s="275"/>
      <c r="BF6" s="275"/>
      <c r="BG6" s="275"/>
      <c r="BL6" s="216"/>
      <c r="CI6" s="217"/>
      <c r="CJ6" s="217"/>
    </row>
    <row r="7" spans="1:146" s="192" customFormat="1" ht="15" customHeight="1" x14ac:dyDescent="0.5">
      <c r="B7" s="214"/>
      <c r="E7" s="270" t="s">
        <v>319</v>
      </c>
      <c r="F7" s="270"/>
      <c r="G7" s="270"/>
      <c r="H7" s="270"/>
      <c r="I7" s="270"/>
      <c r="J7" s="270"/>
      <c r="K7" s="270"/>
      <c r="L7" s="270"/>
      <c r="M7" s="269" t="str" cm="1">
        <f t="array" ref="M7">INDEX(training_programme_data_table,MATCH($M$4,training_programme_list,0),_xlfn.XLOOKUP($E7,'Training programme data entry'!A:A,'Training programme data entry'!B:B))</f>
        <v>Appenticeship</v>
      </c>
      <c r="N7" s="269"/>
      <c r="O7" s="269"/>
      <c r="P7" s="269"/>
      <c r="Q7" s="269"/>
      <c r="R7" s="269"/>
      <c r="S7" s="269"/>
      <c r="T7" s="269"/>
      <c r="U7" s="269"/>
      <c r="V7" s="269"/>
      <c r="W7" s="269"/>
      <c r="X7" s="269"/>
      <c r="Y7" s="269"/>
      <c r="Z7" s="269"/>
      <c r="AA7" s="269"/>
      <c r="AF7" s="216"/>
      <c r="AH7" s="214"/>
      <c r="AL7" s="269" t="s">
        <v>445</v>
      </c>
      <c r="AM7" s="269"/>
      <c r="AN7" s="269"/>
      <c r="AO7" s="269"/>
      <c r="AP7" s="269"/>
      <c r="AQ7" s="269"/>
      <c r="AR7" s="269"/>
      <c r="AS7" s="269"/>
      <c r="AT7" s="269"/>
      <c r="AU7" s="269"/>
      <c r="AV7" s="269"/>
      <c r="AW7" s="269"/>
      <c r="AX7" s="269"/>
      <c r="AY7" s="269"/>
      <c r="AZ7" s="269"/>
      <c r="BA7" s="269"/>
      <c r="BB7" s="268" t="str">
        <f>'Dashboard chart data'!P10</f>
        <v>30,000 to 100,000</v>
      </c>
      <c r="BC7" s="268"/>
      <c r="BD7" s="268"/>
      <c r="BE7" s="268"/>
      <c r="BF7" s="268"/>
      <c r="BG7" s="268"/>
      <c r="BL7" s="216"/>
      <c r="CI7" s="217"/>
      <c r="CJ7" s="217"/>
    </row>
    <row r="8" spans="1:146" s="192" customFormat="1" ht="15" customHeight="1" x14ac:dyDescent="0.5">
      <c r="B8" s="214"/>
      <c r="E8" s="270" t="s">
        <v>79</v>
      </c>
      <c r="F8" s="270"/>
      <c r="G8" s="270"/>
      <c r="H8" s="270"/>
      <c r="I8" s="270"/>
      <c r="J8" s="270"/>
      <c r="K8" s="270"/>
      <c r="L8" s="270"/>
      <c r="M8" s="269" t="str" cm="1">
        <f t="array" ref="M8">INDEX(training_programme_data_table,MATCH($M$4,training_programme_list,0),_xlfn.XLOOKUP($E8,'Training programme data entry'!A:A,'Training programme data entry'!B:B))</f>
        <v>L3/4</v>
      </c>
      <c r="N8" s="269"/>
      <c r="O8" s="269"/>
      <c r="P8" s="269"/>
      <c r="Q8" s="269"/>
      <c r="R8" s="269"/>
      <c r="S8" s="269"/>
      <c r="T8" s="269"/>
      <c r="U8" s="269"/>
      <c r="V8" s="269"/>
      <c r="W8" s="269"/>
      <c r="X8" s="269"/>
      <c r="Y8" s="269"/>
      <c r="Z8" s="269"/>
      <c r="AA8" s="269"/>
      <c r="AF8" s="216"/>
      <c r="AH8" s="214"/>
      <c r="AL8" s="269"/>
      <c r="AM8" s="269"/>
      <c r="AN8" s="269"/>
      <c r="AO8" s="269"/>
      <c r="AP8" s="269"/>
      <c r="AQ8" s="269"/>
      <c r="AR8" s="269"/>
      <c r="AS8" s="269"/>
      <c r="AT8" s="269"/>
      <c r="AU8" s="269"/>
      <c r="AV8" s="269"/>
      <c r="AW8" s="269"/>
      <c r="AX8" s="269"/>
      <c r="AY8" s="269"/>
      <c r="AZ8" s="269"/>
      <c r="BA8" s="269"/>
      <c r="BB8" s="268"/>
      <c r="BC8" s="268"/>
      <c r="BD8" s="268"/>
      <c r="BE8" s="268"/>
      <c r="BF8" s="268"/>
      <c r="BG8" s="268"/>
      <c r="BL8" s="216"/>
      <c r="CI8" s="217"/>
      <c r="CJ8" s="217"/>
    </row>
    <row r="9" spans="1:146" s="192" customFormat="1" ht="15" customHeight="1" x14ac:dyDescent="0.5">
      <c r="B9" s="214"/>
      <c r="E9" s="270"/>
      <c r="F9" s="270"/>
      <c r="G9" s="270"/>
      <c r="H9" s="270"/>
      <c r="I9" s="270"/>
      <c r="J9" s="270"/>
      <c r="K9" s="270"/>
      <c r="L9" s="270"/>
      <c r="M9" s="269"/>
      <c r="N9" s="269"/>
      <c r="O9" s="269"/>
      <c r="P9" s="269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F9" s="216"/>
      <c r="AH9" s="214"/>
      <c r="AL9" s="268" t="s">
        <v>462</v>
      </c>
      <c r="AM9" s="268"/>
      <c r="AN9" s="268"/>
      <c r="AO9" s="268"/>
      <c r="AP9" s="268"/>
      <c r="AQ9" s="268"/>
      <c r="AR9" s="268"/>
      <c r="AS9" s="268"/>
      <c r="AT9" s="268"/>
      <c r="AU9" s="268"/>
      <c r="AV9" s="268"/>
      <c r="AW9" s="268"/>
      <c r="AX9" s="268"/>
      <c r="AY9" s="268"/>
      <c r="AZ9" s="268"/>
      <c r="BA9" s="268"/>
      <c r="BB9" s="268"/>
      <c r="BC9" s="268"/>
      <c r="BD9" s="268"/>
      <c r="BE9" s="268"/>
      <c r="BF9" s="268"/>
      <c r="BG9" s="268"/>
      <c r="BL9" s="216"/>
      <c r="CI9" s="217"/>
      <c r="CJ9" s="217"/>
    </row>
    <row r="10" spans="1:146" s="192" customFormat="1" ht="15" customHeight="1" x14ac:dyDescent="0.5">
      <c r="B10" s="214"/>
      <c r="E10" s="271" t="s">
        <v>252</v>
      </c>
      <c r="F10" s="271"/>
      <c r="G10" s="271"/>
      <c r="H10" s="271"/>
      <c r="I10" s="271"/>
      <c r="J10" s="271"/>
      <c r="K10" s="271"/>
      <c r="L10" s="271"/>
      <c r="M10" s="273" cm="1">
        <f t="array" ref="M10">INDEX(training_programme_data_table,MATCH($M$4,training_programme_list,0),'Training programme data entry'!B28)</f>
        <v>0.7</v>
      </c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F10" s="216"/>
      <c r="AH10" s="214"/>
      <c r="AL10" s="269" t="s">
        <v>446</v>
      </c>
      <c r="AM10" s="269"/>
      <c r="AN10" s="269"/>
      <c r="AO10" s="269"/>
      <c r="AP10" s="269"/>
      <c r="AQ10" s="269"/>
      <c r="AR10" s="269"/>
      <c r="AS10" s="269"/>
      <c r="AT10" s="269"/>
      <c r="AU10" s="269"/>
      <c r="AV10" s="269"/>
      <c r="AW10" s="269"/>
      <c r="AX10" s="269"/>
      <c r="AY10" s="269"/>
      <c r="AZ10" s="269"/>
      <c r="BA10" s="269"/>
      <c r="BB10" s="268" t="str">
        <f>'Dashboard chart data'!P11</f>
        <v>50,000 to 200,000</v>
      </c>
      <c r="BC10" s="268"/>
      <c r="BD10" s="268"/>
      <c r="BE10" s="268"/>
      <c r="BF10" s="268"/>
      <c r="BG10" s="268"/>
      <c r="BL10" s="216"/>
      <c r="CI10" s="217"/>
      <c r="CJ10" s="217"/>
    </row>
    <row r="11" spans="1:146" s="192" customFormat="1" ht="15" customHeight="1" x14ac:dyDescent="0.5">
      <c r="B11" s="214"/>
      <c r="E11" s="270"/>
      <c r="F11" s="270"/>
      <c r="G11" s="270"/>
      <c r="H11" s="270"/>
      <c r="I11" s="270"/>
      <c r="J11" s="270"/>
      <c r="K11" s="270"/>
      <c r="L11" s="270"/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  <c r="X11" s="269"/>
      <c r="Y11" s="269"/>
      <c r="Z11" s="269"/>
      <c r="AA11" s="269"/>
      <c r="AF11" s="216"/>
      <c r="AH11" s="214"/>
      <c r="AL11" s="269"/>
      <c r="AM11" s="269"/>
      <c r="AN11" s="269"/>
      <c r="AO11" s="269"/>
      <c r="AP11" s="269"/>
      <c r="AQ11" s="269"/>
      <c r="AR11" s="269"/>
      <c r="AS11" s="269"/>
      <c r="AT11" s="269"/>
      <c r="AU11" s="269"/>
      <c r="AV11" s="269"/>
      <c r="AW11" s="269"/>
      <c r="AX11" s="269"/>
      <c r="AY11" s="269"/>
      <c r="AZ11" s="269"/>
      <c r="BA11" s="269"/>
      <c r="BB11" s="268"/>
      <c r="BC11" s="268"/>
      <c r="BD11" s="268"/>
      <c r="BE11" s="268"/>
      <c r="BF11" s="268"/>
      <c r="BG11" s="268"/>
      <c r="BL11" s="216"/>
      <c r="CI11" s="217"/>
      <c r="CJ11" s="217"/>
    </row>
    <row r="12" spans="1:146" s="192" customFormat="1" ht="15" customHeight="1" x14ac:dyDescent="0.5">
      <c r="B12" s="214"/>
      <c r="E12" s="271" t="s">
        <v>441</v>
      </c>
      <c r="F12" s="271"/>
      <c r="G12" s="271"/>
      <c r="H12" s="271"/>
      <c r="I12" s="271"/>
      <c r="J12" s="271"/>
      <c r="K12" s="271"/>
      <c r="L12" s="271"/>
      <c r="M12" s="269"/>
      <c r="N12" s="269"/>
      <c r="O12" s="269"/>
      <c r="P12" s="269"/>
      <c r="Q12" s="269"/>
      <c r="R12" s="269"/>
      <c r="S12" s="269"/>
      <c r="T12" s="269"/>
      <c r="U12" s="269"/>
      <c r="V12" s="269"/>
      <c r="W12" s="269"/>
      <c r="X12" s="269"/>
      <c r="Y12" s="269"/>
      <c r="Z12" s="269"/>
      <c r="AA12" s="269"/>
      <c r="AF12" s="216"/>
      <c r="AH12" s="214"/>
      <c r="AL12" s="268" t="s">
        <v>463</v>
      </c>
      <c r="AM12" s="268"/>
      <c r="AN12" s="268"/>
      <c r="AO12" s="268"/>
      <c r="AP12" s="268"/>
      <c r="AQ12" s="268"/>
      <c r="AR12" s="268"/>
      <c r="AS12" s="268"/>
      <c r="AT12" s="268"/>
      <c r="AU12" s="268"/>
      <c r="AV12" s="268"/>
      <c r="AW12" s="268"/>
      <c r="AX12" s="268"/>
      <c r="AY12" s="268"/>
      <c r="AZ12" s="268"/>
      <c r="BA12" s="268"/>
      <c r="BB12" s="268"/>
      <c r="BC12" s="268"/>
      <c r="BD12" s="268"/>
      <c r="BE12" s="268"/>
      <c r="BF12" s="268"/>
      <c r="BG12" s="268"/>
      <c r="BL12" s="216"/>
      <c r="CI12" s="217"/>
      <c r="CJ12" s="217"/>
    </row>
    <row r="13" spans="1:146" s="192" customFormat="1" ht="15" customHeight="1" x14ac:dyDescent="0.5">
      <c r="B13" s="214"/>
      <c r="E13" s="270" t="s">
        <v>404</v>
      </c>
      <c r="F13" s="270"/>
      <c r="G13" s="270"/>
      <c r="H13" s="270"/>
      <c r="I13" s="270"/>
      <c r="J13" s="270"/>
      <c r="K13" s="270"/>
      <c r="L13" s="270"/>
      <c r="M13" s="276" cm="1">
        <f t="array" ref="M13">INDEX(training_programme_data_table,MATCH($M$4,training_programme_list,0),_xlfn.XLOOKUP($E13,'Training programme data entry'!A:A,'Training programme data entry'!B:B))</f>
        <v>15090</v>
      </c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  <c r="AA13" s="276"/>
      <c r="AF13" s="216"/>
      <c r="AH13" s="214"/>
      <c r="AL13" s="269" t="s">
        <v>447</v>
      </c>
      <c r="AM13" s="269"/>
      <c r="AN13" s="269"/>
      <c r="AO13" s="269"/>
      <c r="AP13" s="269"/>
      <c r="AQ13" s="269"/>
      <c r="AR13" s="269"/>
      <c r="AS13" s="269"/>
      <c r="AT13" s="269"/>
      <c r="AU13" s="269"/>
      <c r="AV13" s="269"/>
      <c r="AW13" s="269"/>
      <c r="AX13" s="269"/>
      <c r="AY13" s="269"/>
      <c r="AZ13" s="269"/>
      <c r="BA13" s="269"/>
      <c r="BB13" s="268" t="str">
        <f>'Dashboard chart data'!O15</f>
        <v>50,000 to 200,000</v>
      </c>
      <c r="BC13" s="268"/>
      <c r="BD13" s="268"/>
      <c r="BE13" s="268"/>
      <c r="BF13" s="268"/>
      <c r="BG13" s="268"/>
      <c r="BL13" s="216"/>
      <c r="CI13" s="217"/>
      <c r="CJ13" s="217"/>
    </row>
    <row r="14" spans="1:146" s="192" customFormat="1" ht="15" customHeight="1" x14ac:dyDescent="0.5">
      <c r="B14" s="214"/>
      <c r="E14" s="270" t="s">
        <v>442</v>
      </c>
      <c r="F14" s="270"/>
      <c r="G14" s="270"/>
      <c r="H14" s="270"/>
      <c r="I14" s="270"/>
      <c r="J14" s="270"/>
      <c r="K14" s="270"/>
      <c r="L14" s="270"/>
      <c r="M14" s="276">
        <f>M13*120/M6</f>
        <v>11317.5</v>
      </c>
      <c r="N14" s="276"/>
      <c r="O14" s="276"/>
      <c r="P14" s="276"/>
      <c r="Q14" s="276"/>
      <c r="R14" s="276"/>
      <c r="S14" s="276"/>
      <c r="T14" s="276"/>
      <c r="U14" s="276"/>
      <c r="V14" s="276"/>
      <c r="W14" s="276"/>
      <c r="X14" s="276"/>
      <c r="Y14" s="276"/>
      <c r="Z14" s="276"/>
      <c r="AA14" s="276"/>
      <c r="AF14" s="216"/>
      <c r="AH14" s="214"/>
      <c r="AL14" s="269" t="s">
        <v>448</v>
      </c>
      <c r="AM14" s="269"/>
      <c r="AN14" s="269"/>
      <c r="AO14" s="269"/>
      <c r="AP14" s="269"/>
      <c r="AQ14" s="269"/>
      <c r="AR14" s="269"/>
      <c r="AS14" s="269"/>
      <c r="AT14" s="269"/>
      <c r="AU14" s="269"/>
      <c r="AV14" s="269"/>
      <c r="AW14" s="269"/>
      <c r="AX14" s="269"/>
      <c r="AY14" s="269"/>
      <c r="AZ14" s="269"/>
      <c r="BA14" s="269"/>
      <c r="BB14" s="268" t="str">
        <f>'Dashboard chart data'!O19</f>
        <v>5 to 20</v>
      </c>
      <c r="BC14" s="268"/>
      <c r="BD14" s="268"/>
      <c r="BE14" s="268"/>
      <c r="BF14" s="268"/>
      <c r="BG14" s="268"/>
      <c r="BL14" s="216"/>
      <c r="CI14" s="193"/>
      <c r="CJ14" s="193"/>
    </row>
    <row r="15" spans="1:146" s="192" customFormat="1" ht="15" customHeight="1" thickBot="1" x14ac:dyDescent="0.55000000000000004">
      <c r="B15" s="219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1"/>
      <c r="AH15" s="219"/>
      <c r="AI15" s="220"/>
      <c r="AJ15" s="220"/>
      <c r="AK15" s="220"/>
      <c r="AL15" s="220"/>
      <c r="AM15" s="220"/>
      <c r="AN15" s="220"/>
      <c r="AO15" s="220"/>
      <c r="AP15" s="220"/>
      <c r="AQ15" s="220"/>
      <c r="AR15" s="222"/>
      <c r="AS15" s="222"/>
      <c r="AT15" s="222"/>
      <c r="AU15" s="222"/>
      <c r="AV15" s="222"/>
      <c r="AW15" s="222"/>
      <c r="AX15" s="222"/>
      <c r="AY15" s="220"/>
      <c r="AZ15" s="220"/>
      <c r="BA15" s="222"/>
      <c r="BB15" s="222"/>
      <c r="BC15" s="222"/>
      <c r="BD15" s="222"/>
      <c r="BE15" s="222"/>
      <c r="BF15" s="222"/>
      <c r="BG15" s="222"/>
      <c r="BH15" s="220"/>
      <c r="BI15" s="220"/>
      <c r="BJ15" s="220"/>
      <c r="BK15" s="220"/>
      <c r="BL15" s="221"/>
    </row>
    <row r="16" spans="1:146" s="192" customFormat="1" ht="15" customHeight="1" x14ac:dyDescent="0.5"/>
    <row r="17" spans="1:146" s="84" customFormat="1" ht="15" customHeight="1" x14ac:dyDescent="0.5">
      <c r="A17" s="263" t="s">
        <v>440</v>
      </c>
      <c r="B17" s="263"/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  <c r="T17" s="263"/>
      <c r="U17" s="263"/>
      <c r="V17" s="263"/>
      <c r="W17" s="263"/>
      <c r="X17" s="263"/>
      <c r="Y17" s="263"/>
      <c r="Z17" s="263"/>
      <c r="AA17" s="263"/>
      <c r="AB17" s="263"/>
      <c r="AC17" s="263"/>
      <c r="AD17" s="263"/>
      <c r="AE17" s="263"/>
      <c r="AF17" s="263"/>
      <c r="AG17" s="263"/>
      <c r="AH17" s="263"/>
      <c r="AI17" s="263"/>
      <c r="AJ17" s="263"/>
      <c r="AK17" s="263"/>
      <c r="AL17" s="263"/>
      <c r="AM17" s="263"/>
      <c r="AN17" s="263"/>
      <c r="AO17" s="263"/>
      <c r="AP17" s="263"/>
      <c r="AQ17" s="263"/>
      <c r="AR17" s="263"/>
      <c r="AS17" s="263"/>
      <c r="AT17" s="263"/>
      <c r="AU17" s="263"/>
      <c r="AV17" s="263"/>
      <c r="AW17" s="263"/>
      <c r="AX17" s="263"/>
      <c r="AY17" s="263"/>
      <c r="AZ17" s="263"/>
      <c r="BA17" s="263"/>
      <c r="BB17" s="263"/>
      <c r="BC17" s="263"/>
      <c r="BD17" s="263"/>
      <c r="BE17" s="263"/>
      <c r="BF17" s="263"/>
      <c r="BG17" s="263"/>
      <c r="BH17" s="263"/>
      <c r="BI17" s="263"/>
      <c r="BJ17" s="263"/>
      <c r="BK17" s="263"/>
      <c r="BL17" s="263"/>
      <c r="BM17" s="263"/>
      <c r="BN17" s="192"/>
      <c r="BO17" s="192"/>
      <c r="BP17" s="192"/>
      <c r="BQ17" s="192"/>
      <c r="BR17" s="192"/>
      <c r="BS17" s="192"/>
      <c r="BT17" s="192"/>
      <c r="BU17" s="192"/>
      <c r="BV17" s="192"/>
      <c r="BW17" s="192"/>
      <c r="BX17" s="194"/>
      <c r="BY17" s="194"/>
      <c r="BZ17" s="194"/>
      <c r="CA17" s="194"/>
      <c r="CB17" s="194"/>
      <c r="CC17" s="194"/>
      <c r="CD17" s="194"/>
      <c r="CE17" s="194"/>
      <c r="CF17" s="194"/>
      <c r="CG17" s="194"/>
      <c r="CH17" s="194"/>
      <c r="CI17" s="194"/>
      <c r="CJ17" s="194"/>
      <c r="CK17" s="194"/>
      <c r="CL17" s="194"/>
      <c r="CM17" s="194"/>
      <c r="CN17" s="194"/>
      <c r="CO17" s="194"/>
      <c r="CP17" s="194"/>
      <c r="CQ17" s="194"/>
      <c r="CR17" s="194"/>
      <c r="CS17" s="194"/>
      <c r="CT17" s="194"/>
      <c r="CU17" s="194"/>
      <c r="CV17" s="194"/>
      <c r="CW17" s="194"/>
      <c r="CX17" s="194"/>
      <c r="CY17" s="194"/>
      <c r="CZ17" s="194"/>
      <c r="DA17" s="194"/>
      <c r="DB17" s="194"/>
      <c r="DC17" s="194"/>
      <c r="DD17" s="194"/>
      <c r="DE17" s="194"/>
      <c r="DF17" s="194"/>
      <c r="DG17" s="194"/>
      <c r="DH17" s="194"/>
      <c r="DI17" s="194"/>
      <c r="DJ17" s="194"/>
      <c r="DK17" s="194"/>
      <c r="DL17" s="194"/>
      <c r="DM17" s="194"/>
      <c r="DN17" s="194"/>
      <c r="DO17" s="194"/>
      <c r="DP17" s="194"/>
      <c r="DQ17" s="194"/>
      <c r="DR17" s="194"/>
      <c r="DS17" s="194"/>
      <c r="DT17" s="194"/>
      <c r="DU17" s="194"/>
      <c r="DV17" s="194"/>
      <c r="DW17" s="194"/>
      <c r="DX17" s="194"/>
      <c r="DY17" s="194"/>
      <c r="DZ17" s="194"/>
      <c r="EA17" s="194"/>
      <c r="EB17" s="194"/>
      <c r="EC17" s="194"/>
      <c r="ED17" s="194"/>
      <c r="EE17" s="194"/>
      <c r="EF17" s="194"/>
      <c r="EG17" s="194"/>
      <c r="EH17" s="194"/>
      <c r="EI17" s="194"/>
      <c r="EJ17" s="194"/>
      <c r="EK17" s="194"/>
      <c r="EL17" s="194"/>
      <c r="EM17" s="194"/>
      <c r="EN17" s="194"/>
      <c r="EO17" s="194"/>
      <c r="EP17" s="194"/>
    </row>
    <row r="18" spans="1:146" s="192" customFormat="1" ht="15" customHeight="1" x14ac:dyDescent="0.5"/>
    <row r="19" spans="1:146" s="192" customFormat="1" ht="15" customHeight="1" x14ac:dyDescent="0.5"/>
    <row r="20" spans="1:146" s="192" customFormat="1" ht="15" customHeight="1" x14ac:dyDescent="0.5"/>
    <row r="21" spans="1:146" s="192" customFormat="1" ht="15" customHeight="1" x14ac:dyDescent="0.5"/>
    <row r="22" spans="1:146" s="192" customFormat="1" ht="15" customHeight="1" x14ac:dyDescent="0.5"/>
    <row r="23" spans="1:146" s="192" customFormat="1" ht="15" customHeight="1" x14ac:dyDescent="0.5"/>
    <row r="24" spans="1:146" s="192" customFormat="1" ht="15" customHeight="1" x14ac:dyDescent="0.5"/>
    <row r="25" spans="1:146" s="192" customFormat="1" ht="15" customHeight="1" x14ac:dyDescent="0.5"/>
    <row r="26" spans="1:146" s="192" customFormat="1" ht="15" customHeight="1" x14ac:dyDescent="0.5"/>
    <row r="27" spans="1:146" s="192" customFormat="1" ht="15" customHeight="1" x14ac:dyDescent="0.5"/>
    <row r="28" spans="1:146" s="192" customFormat="1" ht="15" customHeight="1" x14ac:dyDescent="0.5"/>
    <row r="29" spans="1:146" s="192" customFormat="1" ht="15" customHeight="1" x14ac:dyDescent="0.5"/>
    <row r="30" spans="1:146" s="192" customFormat="1" ht="15" customHeight="1" x14ac:dyDescent="0.5"/>
    <row r="31" spans="1:146" s="192" customFormat="1" ht="15" customHeight="1" x14ac:dyDescent="0.5"/>
    <row r="32" spans="1:146" s="192" customFormat="1" ht="15" customHeight="1" x14ac:dyDescent="0.5"/>
    <row r="33" s="192" customFormat="1" ht="15" customHeight="1" x14ac:dyDescent="0.5"/>
    <row r="34" s="192" customFormat="1" ht="15" customHeight="1" x14ac:dyDescent="0.5"/>
    <row r="35" s="192" customFormat="1" ht="15" customHeight="1" x14ac:dyDescent="0.5"/>
    <row r="36" s="192" customFormat="1" ht="15" customHeight="1" x14ac:dyDescent="0.5"/>
    <row r="37" s="192" customFormat="1" ht="15" customHeight="1" x14ac:dyDescent="0.5"/>
    <row r="38" s="192" customFormat="1" ht="15" customHeight="1" x14ac:dyDescent="0.5"/>
    <row r="39" s="192" customFormat="1" ht="15" customHeight="1" x14ac:dyDescent="0.5"/>
    <row r="40" s="192" customFormat="1" ht="15" customHeight="1" x14ac:dyDescent="0.5"/>
    <row r="41" s="192" customFormat="1" ht="15" customHeight="1" x14ac:dyDescent="0.5"/>
    <row r="42" s="192" customFormat="1" ht="15" customHeight="1" x14ac:dyDescent="0.5"/>
    <row r="43" s="192" customFormat="1" ht="15" customHeight="1" x14ac:dyDescent="0.5"/>
    <row r="44" s="192" customFormat="1" ht="15" customHeight="1" x14ac:dyDescent="0.5"/>
    <row r="45" s="192" customFormat="1" ht="15" customHeight="1" x14ac:dyDescent="0.5"/>
    <row r="46" s="192" customFormat="1" ht="15" customHeight="1" x14ac:dyDescent="0.5"/>
    <row r="47" s="192" customFormat="1" ht="15" customHeight="1" x14ac:dyDescent="0.5"/>
    <row r="48" s="192" customFormat="1" ht="15" customHeight="1" x14ac:dyDescent="0.5"/>
    <row r="49" s="192" customFormat="1" ht="15" customHeight="1" x14ac:dyDescent="0.5"/>
    <row r="50" s="192" customFormat="1" ht="15" customHeight="1" x14ac:dyDescent="0.5"/>
    <row r="51" s="192" customFormat="1" ht="15" customHeight="1" x14ac:dyDescent="0.5"/>
    <row r="52" s="192" customFormat="1" ht="15" customHeight="1" x14ac:dyDescent="0.5"/>
    <row r="53" s="192" customFormat="1" ht="15" customHeight="1" x14ac:dyDescent="0.5"/>
    <row r="54" s="192" customFormat="1" ht="15" customHeight="1" x14ac:dyDescent="0.5"/>
    <row r="55" s="192" customFormat="1" ht="15" customHeight="1" x14ac:dyDescent="0.5"/>
    <row r="56" s="192" customFormat="1" ht="15" customHeight="1" x14ac:dyDescent="0.5"/>
    <row r="57" s="192" customFormat="1" ht="15" customHeight="1" x14ac:dyDescent="0.5"/>
    <row r="58" s="192" customFormat="1" ht="15" customHeight="1" x14ac:dyDescent="0.5"/>
    <row r="59" s="192" customFormat="1" ht="15" customHeight="1" x14ac:dyDescent="0.5"/>
    <row r="60" s="192" customFormat="1" ht="15" customHeight="1" x14ac:dyDescent="0.5"/>
    <row r="61" s="192" customFormat="1" ht="15" customHeight="1" x14ac:dyDescent="0.5"/>
    <row r="62" s="192" customFormat="1" ht="15" customHeight="1" x14ac:dyDescent="0.5"/>
    <row r="63" s="192" customFormat="1" ht="15" customHeight="1" x14ac:dyDescent="0.5"/>
    <row r="64" s="192" customFormat="1" ht="15" customHeight="1" x14ac:dyDescent="0.5"/>
    <row r="65" s="192" customFormat="1" ht="15" customHeight="1" x14ac:dyDescent="0.5"/>
    <row r="66" s="192" customFormat="1" ht="15" customHeight="1" x14ac:dyDescent="0.5"/>
    <row r="67" s="192" customFormat="1" ht="15" customHeight="1" x14ac:dyDescent="0.5"/>
    <row r="68" s="192" customFormat="1" ht="15" customHeight="1" x14ac:dyDescent="0.5"/>
    <row r="69" s="192" customFormat="1" ht="15" customHeight="1" x14ac:dyDescent="0.5"/>
    <row r="70" s="3" customFormat="1" ht="15" customHeight="1" x14ac:dyDescent="0.5"/>
  </sheetData>
  <mergeCells count="46">
    <mergeCell ref="BB14:BG14"/>
    <mergeCell ref="AH1:BM1"/>
    <mergeCell ref="A17:BM17"/>
    <mergeCell ref="AL14:BA14"/>
    <mergeCell ref="BB4:BG4"/>
    <mergeCell ref="BB5:BG5"/>
    <mergeCell ref="BB6:BG6"/>
    <mergeCell ref="BB7:BG7"/>
    <mergeCell ref="BB8:BG8"/>
    <mergeCell ref="BB9:BG9"/>
    <mergeCell ref="BB10:BG10"/>
    <mergeCell ref="BB11:BG11"/>
    <mergeCell ref="BB12:BG12"/>
    <mergeCell ref="M13:AA13"/>
    <mergeCell ref="M14:AA14"/>
    <mergeCell ref="AL4:BA4"/>
    <mergeCell ref="AL5:BA5"/>
    <mergeCell ref="AL6:BA6"/>
    <mergeCell ref="AL7:BA7"/>
    <mergeCell ref="AL8:BA8"/>
    <mergeCell ref="AL9:BA9"/>
    <mergeCell ref="E14:L14"/>
    <mergeCell ref="M4:AA4"/>
    <mergeCell ref="M5:AA5"/>
    <mergeCell ref="M6:AA6"/>
    <mergeCell ref="M7:AA7"/>
    <mergeCell ref="M8:AA8"/>
    <mergeCell ref="M9:AA9"/>
    <mergeCell ref="M10:AA10"/>
    <mergeCell ref="M11:AA11"/>
    <mergeCell ref="M12:AA12"/>
    <mergeCell ref="E4:L4"/>
    <mergeCell ref="E5:L5"/>
    <mergeCell ref="E6:L6"/>
    <mergeCell ref="E7:L7"/>
    <mergeCell ref="AL12:BA12"/>
    <mergeCell ref="AL13:BA13"/>
    <mergeCell ref="BB13:BG13"/>
    <mergeCell ref="E13:L13"/>
    <mergeCell ref="E8:L8"/>
    <mergeCell ref="E9:L9"/>
    <mergeCell ref="E10:L10"/>
    <mergeCell ref="E11:L11"/>
    <mergeCell ref="E12:L12"/>
    <mergeCell ref="AL10:BA10"/>
    <mergeCell ref="AL11:BA11"/>
  </mergeCells>
  <dataValidations count="1">
    <dataValidation type="list" allowBlank="1" showInputMessage="1" showErrorMessage="1" sqref="M4" xr:uid="{89FCA13F-1200-43A2-944F-4A8A4EB23F4C}">
      <formula1>training_programme_list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32F57-85D9-4051-81D8-979E9BE06CF5}">
  <sheetPr codeName="Sheet12" filterMode="1">
    <tabColor theme="7"/>
  </sheetPr>
  <dimension ref="B2:T44"/>
  <sheetViews>
    <sheetView zoomScale="150" zoomScaleNormal="150" workbookViewId="0">
      <selection activeCell="I48" sqref="I48"/>
    </sheetView>
  </sheetViews>
  <sheetFormatPr defaultColWidth="8.734375" defaultRowHeight="15" customHeight="1" x14ac:dyDescent="0.55000000000000004"/>
  <cols>
    <col min="1" max="1" width="3.3671875" style="194" customWidth="1"/>
    <col min="2" max="2" width="40.3671875" style="194" customWidth="1"/>
    <col min="3" max="3" width="23.7890625" style="194" hidden="1" customWidth="1"/>
    <col min="4" max="5" width="21.3671875" style="194" customWidth="1"/>
    <col min="6" max="6" width="21.3671875" style="194" hidden="1" customWidth="1"/>
    <col min="7" max="7" width="21.3671875" style="194" customWidth="1"/>
    <col min="8" max="8" width="21.3671875" style="215" customWidth="1"/>
    <col min="9" max="9" width="4" style="194" customWidth="1"/>
    <col min="10" max="16384" width="8.734375" style="194"/>
  </cols>
  <sheetData>
    <row r="2" spans="2:20" ht="52.5" customHeight="1" x14ac:dyDescent="0.55000000000000004">
      <c r="B2" s="240" t="s">
        <v>557</v>
      </c>
      <c r="C2" s="240" t="s">
        <v>318</v>
      </c>
      <c r="D2" s="75" t="s">
        <v>484</v>
      </c>
      <c r="E2" s="75" t="s">
        <v>485</v>
      </c>
      <c r="F2" s="75" t="s">
        <v>486</v>
      </c>
      <c r="G2" s="75" t="s">
        <v>487</v>
      </c>
      <c r="H2" s="75" t="s">
        <v>589</v>
      </c>
    </row>
    <row r="3" spans="2:20" ht="15" hidden="1" customHeight="1" x14ac:dyDescent="0.5">
      <c r="B3" s="194" t="str">
        <f>'Dashboard chart data'!S50</f>
        <v>Farm Environment Planning Micro-credential</v>
      </c>
      <c r="C3" s="194" t="str">
        <f>'Dashboard chart data'!T50</f>
        <v>Primary ITO</v>
      </c>
      <c r="D3" s="226" t="str">
        <f>IF('Dashboard chart data'!U50&gt;0,_xlfn.XLOOKUP('Dashboard chart data'!U50,output_range_mid,output_range_range,0,1,1),"")</f>
        <v>200,000 to 500,000</v>
      </c>
      <c r="E3" s="226" t="str">
        <f>IF('Dashboard chart data'!V50&gt;0,_xlfn.XLOOKUP('Dashboard chart data'!V50,output_range_mid,output_range_range,0,1,1),"")</f>
        <v>20,000 to 50,000</v>
      </c>
      <c r="F3" s="226" t="str">
        <f>IF('Dashboard chart data'!W50&gt;0,_xlfn.XLOOKUP('Dashboard chart data'!W50,output_range_mid,output_range_range,0,1,1),"")</f>
        <v>200,000 to 500,000</v>
      </c>
      <c r="G3" s="227">
        <f>IF('Dashboard chart data'!X50&gt;0,'Dashboard chart data'!X50,"")</f>
        <v>1546.6666666666699</v>
      </c>
      <c r="H3" s="226" t="str">
        <f>IF('Dashboard chart data'!Y50&gt;0,_xlfn.XLOOKUP('Dashboard chart data'!Y50,output_range_mid,output_range_range,0,1,1),"")</f>
        <v>100 to 300</v>
      </c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</row>
    <row r="4" spans="2:20" ht="15" hidden="1" customHeight="1" x14ac:dyDescent="0.55000000000000004">
      <c r="B4" s="194" t="str">
        <f>'Dashboard chart data'!S51</f>
        <v>Business by the numbers</v>
      </c>
      <c r="C4" s="194" t="str">
        <f>'Dashboard chart data'!T51</f>
        <v>Dairy Training Limited</v>
      </c>
      <c r="D4" s="226" t="str">
        <f>IF('Dashboard chart data'!U51&gt;0,_xlfn.XLOOKUP('Dashboard chart data'!U51,output_range_mid,output_range_range,0,1,1),"")</f>
        <v>200,000 to 500,000</v>
      </c>
      <c r="E4" s="226" t="str">
        <f>IF('Dashboard chart data'!V51&gt;0,_xlfn.XLOOKUP('Dashboard chart data'!V51,output_range_mid,output_range_range,0,1,1),"")</f>
        <v>30,000 to 100,000</v>
      </c>
      <c r="F4" s="226" t="str">
        <f>IF('Dashboard chart data'!W51&gt;0,_xlfn.XLOOKUP('Dashboard chart data'!W51,output_range_mid,output_range_range,0,1,1),"")</f>
        <v>300,000 to 1,000,000</v>
      </c>
      <c r="G4" s="227">
        <f>IF('Dashboard chart data'!X51&gt;0,'Dashboard chart data'!X51,"")</f>
        <v>2458.8354271080798</v>
      </c>
      <c r="H4" s="226" t="str">
        <f>IF('Dashboard chart data'!Y51&gt;0,_xlfn.XLOOKUP('Dashboard chart data'!Y51,output_range_mid,output_range_range,0,1,1),"")</f>
        <v>100 to 300</v>
      </c>
    </row>
    <row r="5" spans="2:20" ht="15" customHeight="1" x14ac:dyDescent="0.55000000000000004">
      <c r="B5" s="194" t="str">
        <f>'Dashboard chart data'!S52</f>
        <v>Microcredential - Agribusiness budgeting - L5</v>
      </c>
      <c r="C5" s="194" t="str">
        <f>'Dashboard chart data'!T52</f>
        <v>Food and fibre training group</v>
      </c>
      <c r="D5" s="226" t="str">
        <f>IF('Dashboard chart data'!U52&gt;0,_xlfn.XLOOKUP('Dashboard chart data'!U52,output_range_mid,output_range_range,0,1,1),"")</f>
        <v>200,000 to 500,000</v>
      </c>
      <c r="E5" s="226" t="str">
        <f>IF('Dashboard chart data'!V52&gt;0,_xlfn.XLOOKUP('Dashboard chart data'!V52,output_range_mid,output_range_range,0,1,1),"")</f>
        <v>30,000 to 100,000</v>
      </c>
      <c r="F5" s="226" t="str">
        <f>IF('Dashboard chart data'!W52&gt;0,_xlfn.XLOOKUP('Dashboard chart data'!W52,output_range_mid,output_range_range,0,1,1),"")</f>
        <v>300,000 to 1,000,000</v>
      </c>
      <c r="G5" s="227">
        <f>IF('Dashboard chart data'!X52&gt;0,'Dashboard chart data'!X52,"")</f>
        <v>2458.8354271080798</v>
      </c>
      <c r="H5" s="226" t="str">
        <f>IF('Dashboard chart data'!Y52&gt;0,_xlfn.XLOOKUP('Dashboard chart data'!Y52,output_range_mid,output_range_range,0,1,1),"")</f>
        <v>100 to 300</v>
      </c>
    </row>
    <row r="6" spans="2:20" ht="15" hidden="1" customHeight="1" x14ac:dyDescent="0.55000000000000004">
      <c r="B6" s="194" t="str">
        <f>'Dashboard chart data'!S53</f>
        <v>Farm Environment Planning</v>
      </c>
      <c r="C6" s="194" t="str">
        <f>'Dashboard chart data'!T53</f>
        <v>Dairy Training Limited</v>
      </c>
      <c r="D6" s="226" t="str">
        <f>IF('Dashboard chart data'!U53&gt;0,_xlfn.XLOOKUP('Dashboard chart data'!U53,output_range_mid,output_range_range,0,1,1),"")</f>
        <v>300,000 to 1,000,000</v>
      </c>
      <c r="E6" s="226" t="str">
        <f>IF('Dashboard chart data'!V53&gt;0,_xlfn.XLOOKUP('Dashboard chart data'!V53,output_range_mid,output_range_range,0,1,1),"")</f>
        <v>30,000 to 100,000</v>
      </c>
      <c r="F6" s="226" t="str">
        <f>IF('Dashboard chart data'!W53&gt;0,_xlfn.XLOOKUP('Dashboard chart data'!W53,output_range_mid,output_range_range,0,1,1),"")</f>
        <v>300,000 to 1,000,000</v>
      </c>
      <c r="G6" s="227">
        <f>IF('Dashboard chart data'!X53&gt;0,'Dashboard chart data'!X53,"")</f>
        <v>3937.4104553267698</v>
      </c>
      <c r="H6" s="226" t="str">
        <f>IF('Dashboard chart data'!Y53&gt;0,_xlfn.XLOOKUP('Dashboard chart data'!Y53,output_range_mid,output_range_range,0,1,1),"")</f>
        <v>50 to 200</v>
      </c>
    </row>
    <row r="7" spans="2:20" ht="15" hidden="1" customHeight="1" x14ac:dyDescent="0.55000000000000004">
      <c r="B7" s="194" t="str">
        <f>'Dashboard chart data'!S54</f>
        <v>Managing milk harvesting – Micro-credential</v>
      </c>
      <c r="C7" s="194" t="str">
        <f>'Dashboard chart data'!T54</f>
        <v>Primary ITO</v>
      </c>
      <c r="D7" s="226" t="str">
        <f>IF('Dashboard chart data'!U54&gt;0,_xlfn.XLOOKUP('Dashboard chart data'!U54,output_range_mid,output_range_range,0,1,1),"")</f>
        <v>100,000 to 300,000</v>
      </c>
      <c r="E7" s="226" t="str">
        <f>IF('Dashboard chart data'!V54&gt;0,_xlfn.XLOOKUP('Dashboard chart data'!V54,output_range_mid,output_range_range,0,1,1),"")</f>
        <v>20,000 to 50,000</v>
      </c>
      <c r="F7" s="226" t="str">
        <f>IF('Dashboard chart data'!W54&gt;0,_xlfn.XLOOKUP('Dashboard chart data'!W54,output_range_mid,output_range_range,0,1,1),"")</f>
        <v>100,000 to 300,000</v>
      </c>
      <c r="G7" s="227">
        <f>IF('Dashboard chart data'!X54&gt;0,'Dashboard chart data'!X54,"")</f>
        <v>1488.6666666666699</v>
      </c>
      <c r="H7" s="226" t="str">
        <f>IF('Dashboard chart data'!Y54&gt;0,_xlfn.XLOOKUP('Dashboard chart data'!Y54,output_range_mid,output_range_range,0,1,1),"")</f>
        <v>50 to 200</v>
      </c>
    </row>
    <row r="8" spans="2:20" ht="15" hidden="1" customHeight="1" x14ac:dyDescent="0.55000000000000004">
      <c r="B8" s="194" t="str">
        <f>'Dashboard chart data'!S55</f>
        <v>BizGrow</v>
      </c>
      <c r="C8" s="194" t="str">
        <f>'Dashboard chart data'!T55</f>
        <v>Dairy Training Limited</v>
      </c>
      <c r="D8" s="226" t="str">
        <f>IF('Dashboard chart data'!U55&gt;0,_xlfn.XLOOKUP('Dashboard chart data'!U55,output_range_mid,output_range_range,0,1,1),"")</f>
        <v>200,000 to 500,000</v>
      </c>
      <c r="E8" s="226" t="str">
        <f>IF('Dashboard chart data'!V55&gt;0,_xlfn.XLOOKUP('Dashboard chart data'!V55,output_range_mid,output_range_range,0,1,1),"")</f>
        <v>30,000 to 100,000</v>
      </c>
      <c r="F8" s="226" t="str">
        <f>IF('Dashboard chart data'!W55&gt;0,_xlfn.XLOOKUP('Dashboard chart data'!W55,output_range_mid,output_range_range,0,1,1),"")</f>
        <v>300,000 to 1,000,000</v>
      </c>
      <c r="G8" s="227">
        <f>IF('Dashboard chart data'!X55&gt;0,'Dashboard chart data'!X55,"")</f>
        <v>3596.8360206714301</v>
      </c>
      <c r="H8" s="226" t="str">
        <f>IF('Dashboard chart data'!Y55&gt;0,_xlfn.XLOOKUP('Dashboard chart data'!Y55,output_range_mid,output_range_range,0,1,1),"")</f>
        <v>50 to 200</v>
      </c>
    </row>
    <row r="9" spans="2:20" ht="15" hidden="1" customHeight="1" x14ac:dyDescent="0.55000000000000004">
      <c r="B9" s="194" t="str">
        <f>'Dashboard chart data'!S56</f>
        <v>BizStart</v>
      </c>
      <c r="C9" s="194" t="str">
        <f>'Dashboard chart data'!T56</f>
        <v>Dairy Training Limited</v>
      </c>
      <c r="D9" s="226" t="str">
        <f>IF('Dashboard chart data'!U56&gt;0,_xlfn.XLOOKUP('Dashboard chart data'!U56,output_range_mid,output_range_range,0,1,1),"")</f>
        <v>200,000 to 500,000</v>
      </c>
      <c r="E9" s="226" t="str">
        <f>IF('Dashboard chart data'!V56&gt;0,_xlfn.XLOOKUP('Dashboard chart data'!V56,output_range_mid,output_range_range,0,1,1),"")</f>
        <v>30,000 to 100,000</v>
      </c>
      <c r="F9" s="226" t="str">
        <f>IF('Dashboard chart data'!W56&gt;0,_xlfn.XLOOKUP('Dashboard chart data'!W56,output_range_mid,output_range_range,0,1,1),"")</f>
        <v>200,000 to 500,000</v>
      </c>
      <c r="G9" s="227">
        <f>IF('Dashboard chart data'!X56&gt;0,'Dashboard chart data'!X56,"")</f>
        <v>3596.8360206714301</v>
      </c>
      <c r="H9" s="226" t="str">
        <f>IF('Dashboard chart data'!Y56&gt;0,_xlfn.XLOOKUP('Dashboard chart data'!Y56,output_range_mid,output_range_range,0,1,1),"")</f>
        <v>50 to 200</v>
      </c>
    </row>
    <row r="10" spans="2:20" ht="15" hidden="1" customHeight="1" x14ac:dyDescent="0.55000000000000004">
      <c r="B10" s="194" t="str">
        <f>'Dashboard chart data'!S57</f>
        <v>Contract milking 101</v>
      </c>
      <c r="C10" s="194" t="str">
        <f>'Dashboard chart data'!T57</f>
        <v>Dairy Training Limited</v>
      </c>
      <c r="D10" s="226" t="str">
        <f>IF('Dashboard chart data'!U57&gt;0,_xlfn.XLOOKUP('Dashboard chart data'!U57,output_range_mid,output_range_range,0,1,1),"")</f>
        <v>100,000 to 300,000</v>
      </c>
      <c r="E10" s="226" t="str">
        <f>IF('Dashboard chart data'!V57&gt;0,_xlfn.XLOOKUP('Dashboard chart data'!V57,output_range_mid,output_range_range,0,1,1),"")</f>
        <v>30,000 to 100,000</v>
      </c>
      <c r="F10" s="226" t="str">
        <f>IF('Dashboard chart data'!W57&gt;0,_xlfn.XLOOKUP('Dashboard chart data'!W57,output_range_mid,output_range_range,0,1,1),"")</f>
        <v>100,000 to 300,000</v>
      </c>
      <c r="G10" s="227">
        <f>IF('Dashboard chart data'!X57&gt;0,'Dashboard chart data'!X57,"")</f>
        <v>2410.6211413937899</v>
      </c>
      <c r="H10" s="226" t="str">
        <f>IF('Dashboard chart data'!Y57&gt;0,_xlfn.XLOOKUP('Dashboard chart data'!Y57,output_range_mid,output_range_range,0,1,1),"")</f>
        <v>50 to 200</v>
      </c>
    </row>
    <row r="11" spans="2:20" ht="15" customHeight="1" x14ac:dyDescent="0.55000000000000004">
      <c r="B11" s="194" t="str">
        <f>'Dashboard chart data'!S58</f>
        <v>Microcredential - Stepping into self-employment - L5</v>
      </c>
      <c r="C11" s="194" t="str">
        <f>'Dashboard chart data'!T58</f>
        <v>Food and fibre training group</v>
      </c>
      <c r="D11" s="226" t="str">
        <f>IF('Dashboard chart data'!U58&gt;0,_xlfn.XLOOKUP('Dashboard chart data'!U58,output_range_mid,output_range_range,0,1,1),"")</f>
        <v>100,000 to 300,000</v>
      </c>
      <c r="E11" s="226" t="str">
        <f>IF('Dashboard chart data'!V58&gt;0,_xlfn.XLOOKUP('Dashboard chart data'!V58,output_range_mid,output_range_range,0,1,1),"")</f>
        <v>30,000 to 100,000</v>
      </c>
      <c r="F11" s="226" t="str">
        <f>IF('Dashboard chart data'!W58&gt;0,_xlfn.XLOOKUP('Dashboard chart data'!W58,output_range_mid,output_range_range,0,1,1),"")</f>
        <v>100,000 to 300,000</v>
      </c>
      <c r="G11" s="227">
        <f>IF('Dashboard chart data'!X58&gt;0,'Dashboard chart data'!X58,"")</f>
        <v>2410.6211413937899</v>
      </c>
      <c r="H11" s="226" t="str">
        <f>IF('Dashboard chart data'!Y58&gt;0,_xlfn.XLOOKUP('Dashboard chart data'!Y58,output_range_mid,output_range_range,0,1,1),"")</f>
        <v>50 to 200</v>
      </c>
    </row>
    <row r="12" spans="2:20" ht="15" hidden="1" customHeight="1" x14ac:dyDescent="0.55000000000000004">
      <c r="B12" s="194" t="str">
        <f>'Dashboard chart data'!S59</f>
        <v>xxx3</v>
      </c>
      <c r="C12" s="194" t="str">
        <f>'Dashboard chart data'!T59</f>
        <v>Dummy</v>
      </c>
      <c r="D12" s="226" t="str">
        <f>IF('Dashboard chart data'!U59&gt;0,_xlfn.XLOOKUP('Dashboard chart data'!U59,output_range_mid,output_range_range,0,1,1),"")</f>
        <v>30,000 to 100,000</v>
      </c>
      <c r="E12" s="226" t="str">
        <f>IF('Dashboard chart data'!V59&gt;0,_xlfn.XLOOKUP('Dashboard chart data'!V59,output_range_mid,output_range_range,0,1,1),"")</f>
        <v>10,000 to 30,000</v>
      </c>
      <c r="F12" s="226" t="str">
        <f>IF('Dashboard chart data'!W59&gt;0,_xlfn.XLOOKUP('Dashboard chart data'!W59,output_range_mid,output_range_range,0,1,1),"")</f>
        <v>30,000 to 100,000</v>
      </c>
      <c r="G12" s="227">
        <f>IF('Dashboard chart data'!X59&gt;0,'Dashboard chart data'!X59,"")</f>
        <v>937.32959356422805</v>
      </c>
      <c r="H12" s="226" t="str">
        <f>IF('Dashboard chart data'!Y59&gt;0,_xlfn.XLOOKUP('Dashboard chart data'!Y59,output_range_mid,output_range_range,0,1,1),"")</f>
        <v>30 to 100</v>
      </c>
    </row>
    <row r="13" spans="2:20" ht="15" hidden="1" customHeight="1" x14ac:dyDescent="0.55000000000000004">
      <c r="B13" s="194" t="str">
        <f>'Dashboard chart data'!S60</f>
        <v>Assist with Milk Harvesting and Optimising Milk Quality – Micro-credential</v>
      </c>
      <c r="C13" s="194" t="str">
        <f>'Dashboard chart data'!T60</f>
        <v>Primary ITO</v>
      </c>
      <c r="D13" s="226" t="str">
        <f>IF('Dashboard chart data'!U60&gt;0,_xlfn.XLOOKUP('Dashboard chart data'!U60,output_range_mid,output_range_range,0,1,1),"")</f>
        <v>10,000 to 30,000</v>
      </c>
      <c r="E13" s="226" t="str">
        <f>IF('Dashboard chart data'!V60&gt;0,_xlfn.XLOOKUP('Dashboard chart data'!V60,output_range_mid,output_range_range,0,1,1),"")</f>
        <v>30,000 to 100,000</v>
      </c>
      <c r="F13" s="226" t="str">
        <f>IF('Dashboard chart data'!W60&gt;0,_xlfn.XLOOKUP('Dashboard chart data'!W60,output_range_mid,output_range_range,0,1,1),"")</f>
        <v>50,000 to 200,000</v>
      </c>
      <c r="G13" s="227">
        <f>IF('Dashboard chart data'!X60&gt;0,'Dashboard chart data'!X60,"")</f>
        <v>2632.6666666666702</v>
      </c>
      <c r="H13" s="226" t="str">
        <f>IF('Dashboard chart data'!Y60&gt;0,_xlfn.XLOOKUP('Dashboard chart data'!Y60,output_range_mid,output_range_range,0,1,1),"")</f>
        <v>20 to 50</v>
      </c>
    </row>
    <row r="14" spans="2:20" ht="15" hidden="1" customHeight="1" x14ac:dyDescent="0.55000000000000004">
      <c r="B14" s="194" t="str">
        <f>'Dashboard chart data'!S61</f>
        <v>Reference training programme</v>
      </c>
      <c r="C14" s="194" t="str">
        <f>'Dashboard chart data'!T61</f>
        <v>Reference</v>
      </c>
      <c r="D14" s="226" t="str">
        <f>IF('Dashboard chart data'!U61&gt;0,_xlfn.XLOOKUP('Dashboard chart data'!U61,output_range_mid,output_range_range,0,1,1),"")</f>
        <v>300,000 to 1,000,000</v>
      </c>
      <c r="E14" s="226" t="str">
        <f>IF('Dashboard chart data'!V61&gt;0,_xlfn.XLOOKUP('Dashboard chart data'!V61,output_range_mid,output_range_range,0,1,1),"")</f>
        <v>50,000 to 200,000</v>
      </c>
      <c r="F14" s="226" t="str">
        <f>IF('Dashboard chart data'!W61&gt;0,_xlfn.XLOOKUP('Dashboard chart data'!W61,output_range_mid,output_range_range,0,1,1),"")</f>
        <v>300,000 to 1,000,000</v>
      </c>
      <c r="G14" s="227">
        <f>IF('Dashboard chart data'!X61&gt;0,'Dashboard chart data'!X61,"")</f>
        <v>21447.047863043001</v>
      </c>
      <c r="H14" s="226" t="str">
        <f>IF('Dashboard chart data'!Y61&gt;0,_xlfn.XLOOKUP('Dashboard chart data'!Y61,output_range_mid,output_range_range,0,1,1),"")</f>
        <v>20 to 50</v>
      </c>
    </row>
    <row r="15" spans="2:20" ht="15" hidden="1" customHeight="1" x14ac:dyDescent="0.55000000000000004">
      <c r="B15" s="194" t="str">
        <f>'Dashboard chart data'!S62</f>
        <v>Livestock Feed Supply and Demand – Micro-credential</v>
      </c>
      <c r="C15" s="194" t="str">
        <f>'Dashboard chart data'!T62</f>
        <v>Primary ITO</v>
      </c>
      <c r="D15" s="226" t="str">
        <f>IF('Dashboard chart data'!U62&gt;0,_xlfn.XLOOKUP('Dashboard chart data'!U62,output_range_mid,output_range_range,0,1,1),"")</f>
        <v>10,000 to 30,000</v>
      </c>
      <c r="E15" s="226" t="str">
        <f>IF('Dashboard chart data'!V62&gt;0,_xlfn.XLOOKUP('Dashboard chart data'!V62,output_range_mid,output_range_range,0,1,1),"")</f>
        <v>30,000 to 100,000</v>
      </c>
      <c r="F15" s="226" t="str">
        <f>IF('Dashboard chart data'!W62&gt;0,_xlfn.XLOOKUP('Dashboard chart data'!W62,output_range_mid,output_range_range,0,1,1),"")</f>
        <v>50,000 to 200,000</v>
      </c>
      <c r="G15" s="227">
        <f>IF('Dashboard chart data'!X62&gt;0,'Dashboard chart data'!X62,"")</f>
        <v>3890</v>
      </c>
      <c r="H15" s="226" t="str">
        <f>IF('Dashboard chart data'!Y62&gt;0,_xlfn.XLOOKUP('Dashboard chart data'!Y62,output_range_mid,output_range_range,0,1,1),"")</f>
        <v>10 to 30</v>
      </c>
    </row>
    <row r="16" spans="2:20" ht="15" customHeight="1" x14ac:dyDescent="0.55000000000000004">
      <c r="B16" s="194" t="str">
        <f>'Dashboard chart data'!S63</f>
        <v>Microcredential - Farm production fundamentals - L3</v>
      </c>
      <c r="C16" s="194" t="str">
        <f>'Dashboard chart data'!T63</f>
        <v>Food and fibre training group</v>
      </c>
      <c r="D16" s="226" t="str">
        <f>IF('Dashboard chart data'!U63&gt;0,_xlfn.XLOOKUP('Dashboard chart data'!U63,output_range_mid,output_range_range,0,1,1),"")</f>
        <v>10,000 to 30,000</v>
      </c>
      <c r="E16" s="226" t="str">
        <f>IF('Dashboard chart data'!V63&gt;0,_xlfn.XLOOKUP('Dashboard chart data'!V63,output_range_mid,output_range_range,0,1,1),"")</f>
        <v>30,000 to 100,000</v>
      </c>
      <c r="F16" s="226" t="str">
        <f>IF('Dashboard chart data'!W63&gt;0,_xlfn.XLOOKUP('Dashboard chart data'!W63,output_range_mid,output_range_range,0,1,1),"")</f>
        <v>50,000 to 200,000</v>
      </c>
      <c r="G16" s="227">
        <f>IF('Dashboard chart data'!X63&gt;0,'Dashboard chart data'!X63,"")</f>
        <v>3890</v>
      </c>
      <c r="H16" s="226" t="str">
        <f>IF('Dashboard chart data'!Y63&gt;0,_xlfn.XLOOKUP('Dashboard chart data'!Y63,output_range_mid,output_range_range,0,1,1),"")</f>
        <v>10 to 30</v>
      </c>
    </row>
    <row r="17" spans="2:8" ht="15" customHeight="1" x14ac:dyDescent="0.55000000000000004">
      <c r="B17" s="194" t="str">
        <f>'Dashboard chart data'!S64</f>
        <v>Certificate - Farm skills - L3</v>
      </c>
      <c r="C17" s="194" t="str">
        <f>'Dashboard chart data'!T64</f>
        <v>Food and fibre training group</v>
      </c>
      <c r="D17" s="226" t="str">
        <f>IF('Dashboard chart data'!U64&gt;0,_xlfn.XLOOKUP('Dashboard chart data'!U64,output_range_mid,output_range_range,0,1,1),"")</f>
        <v>5,000 to 20,000</v>
      </c>
      <c r="E17" s="226" t="str">
        <f>IF('Dashboard chart data'!V64&gt;0,_xlfn.XLOOKUP('Dashboard chart data'!V64,output_range_mid,output_range_range,0,1,1),"")</f>
        <v>30,000 to 100,000</v>
      </c>
      <c r="F17" s="226" t="str">
        <f>IF('Dashboard chart data'!W64&gt;0,_xlfn.XLOOKUP('Dashboard chart data'!W64,output_range_mid,output_range_range,0,1,1),"")</f>
        <v>30,000 to 100,000</v>
      </c>
      <c r="G17" s="227">
        <f>IF('Dashboard chart data'!X64&gt;0,'Dashboard chart data'!X64,"")</f>
        <v>3157.36427781783</v>
      </c>
      <c r="H17" s="226" t="str">
        <f>IF('Dashboard chart data'!Y64&gt;0,_xlfn.XLOOKUP('Dashboard chart data'!Y64,output_range_mid,output_range_range,0,1,1),"")</f>
        <v>10 to 30</v>
      </c>
    </row>
    <row r="18" spans="2:8" ht="15" hidden="1" customHeight="1" x14ac:dyDescent="0.55000000000000004">
      <c r="B18" s="194" t="str">
        <f>'Dashboard chart data'!S65</f>
        <v>New Zealand Apprenticeship in Agriculture - Dairy Farming</v>
      </c>
      <c r="C18" s="194" t="str">
        <f>'Dashboard chart data'!T65</f>
        <v>Primary ITO</v>
      </c>
      <c r="D18" s="226" t="str">
        <f>IF('Dashboard chart data'!U65&gt;0,_xlfn.XLOOKUP('Dashboard chart data'!U65,output_range_mid,output_range_range,0,1,1),"")</f>
        <v>30,000 to 100,000</v>
      </c>
      <c r="E18" s="226" t="str">
        <f>IF('Dashboard chart data'!V65&gt;0,_xlfn.XLOOKUP('Dashboard chart data'!V65,output_range_mid,output_range_range,0,1,1),"")</f>
        <v>50,000 to 200,000</v>
      </c>
      <c r="F18" s="226" t="str">
        <f>IF('Dashboard chart data'!W65&gt;0,_xlfn.XLOOKUP('Dashboard chart data'!W65,output_range_mid,output_range_range,0,1,1),"")</f>
        <v>50,000 to 200,000</v>
      </c>
      <c r="G18" s="227">
        <f>IF('Dashboard chart data'!X65&gt;0,'Dashboard chart data'!X65,"")</f>
        <v>10860</v>
      </c>
      <c r="H18" s="226" t="str">
        <f>IF('Dashboard chart data'!Y65&gt;0,_xlfn.XLOOKUP('Dashboard chart data'!Y65,output_range_mid,output_range_range,0,1,1),"")</f>
        <v>5 to 20</v>
      </c>
    </row>
    <row r="19" spans="2:8" ht="15" customHeight="1" x14ac:dyDescent="0.55000000000000004">
      <c r="B19" s="194" t="str">
        <f>'Dashboard chart data'!S66</f>
        <v>Apprenticeship - Food and fibre production - L3+4</v>
      </c>
      <c r="C19" s="194" t="str">
        <f>'Dashboard chart data'!T66</f>
        <v>Food and fibre training group</v>
      </c>
      <c r="D19" s="226" t="str">
        <f>IF('Dashboard chart data'!U66&gt;0,_xlfn.XLOOKUP('Dashboard chart data'!U66,output_range_mid,output_range_range,0,1,1),"")</f>
        <v>30,000 to 100,000</v>
      </c>
      <c r="E19" s="226" t="str">
        <f>IF('Dashboard chart data'!V66&gt;0,_xlfn.XLOOKUP('Dashboard chart data'!V66,output_range_mid,output_range_range,0,1,1),"")</f>
        <v>50,000 to 200,000</v>
      </c>
      <c r="F19" s="226" t="str">
        <f>IF('Dashboard chart data'!W66&gt;0,_xlfn.XLOOKUP('Dashboard chart data'!W66,output_range_mid,output_range_range,0,1,1),"")</f>
        <v>50,000 to 200,000</v>
      </c>
      <c r="G19" s="227">
        <f>IF('Dashboard chart data'!X66&gt;0,'Dashboard chart data'!X66,"")</f>
        <v>15090</v>
      </c>
      <c r="H19" s="226" t="str">
        <f>IF('Dashboard chart data'!Y66&gt;0,_xlfn.XLOOKUP('Dashboard chart data'!Y66,output_range_mid,output_range_range,0,1,1),"")</f>
        <v>5 to 20</v>
      </c>
    </row>
    <row r="20" spans="2:8" ht="15" hidden="1" customHeight="1" x14ac:dyDescent="0.55000000000000004">
      <c r="B20" s="194" t="str">
        <f>'Dashboard chart data'!S67</f>
        <v>New Zealand Apprenticeship in Fruit Production</v>
      </c>
      <c r="C20" s="194" t="str">
        <f>'Dashboard chart data'!T67</f>
        <v>Primary ITO</v>
      </c>
      <c r="D20" s="226" t="str">
        <f>IF('Dashboard chart data'!U67&gt;0,_xlfn.XLOOKUP('Dashboard chart data'!U67,output_range_mid,output_range_range,0,1,1),"")</f>
        <v>20,000 to 50,000</v>
      </c>
      <c r="E20" s="226" t="str">
        <f>IF('Dashboard chart data'!V67&gt;0,_xlfn.XLOOKUP('Dashboard chart data'!V67,output_range_mid,output_range_range,0,1,1),"")</f>
        <v>50,000 to 200,000</v>
      </c>
      <c r="F20" s="226" t="str">
        <f>IF('Dashboard chart data'!W67&gt;0,_xlfn.XLOOKUP('Dashboard chart data'!W67,output_range_mid,output_range_range,0,1,1),"")</f>
        <v>50,000 to 200,000</v>
      </c>
      <c r="G20" s="227">
        <f>IF('Dashboard chart data'!X67&gt;0,'Dashboard chart data'!X67,"")</f>
        <v>15090</v>
      </c>
      <c r="H20" s="226" t="str">
        <f>IF('Dashboard chart data'!Y67&gt;0,_xlfn.XLOOKUP('Dashboard chart data'!Y67,output_range_mid,output_range_range,0,1,1),"")</f>
        <v>5 to 20</v>
      </c>
    </row>
    <row r="21" spans="2:8" ht="15" hidden="1" customHeight="1" x14ac:dyDescent="0.55000000000000004">
      <c r="B21" s="194" t="str">
        <f>'Dashboard chart data'!S68</f>
        <v>Introduction to dairy farming</v>
      </c>
      <c r="C21" s="194" t="str">
        <f>'Dashboard chart data'!T68</f>
        <v>Dairy Training Limited</v>
      </c>
      <c r="D21" s="226" t="str">
        <f>IF('Dashboard chart data'!U68&gt;0,_xlfn.XLOOKUP('Dashboard chart data'!U68,output_range_mid,output_range_range,0,1,1),"")</f>
        <v>10,000 to 30,000</v>
      </c>
      <c r="E21" s="226" t="str">
        <f>IF('Dashboard chart data'!V68&gt;0,_xlfn.XLOOKUP('Dashboard chart data'!V68,output_range_mid,output_range_range,0,1,1),"")</f>
        <v>30,000 to 100,000</v>
      </c>
      <c r="F21" s="226" t="str">
        <f>IF('Dashboard chart data'!W68&gt;0,_xlfn.XLOOKUP('Dashboard chart data'!W68,output_range_mid,output_range_range,0,1,1),"")</f>
        <v>30,000 to 100,000</v>
      </c>
      <c r="G21" s="227">
        <f>IF('Dashboard chart data'!X68&gt;0,'Dashboard chart data'!X68,"")</f>
        <v>8214.3419158930392</v>
      </c>
      <c r="H21" s="226" t="str">
        <f>IF('Dashboard chart data'!Y68&gt;0,_xlfn.XLOOKUP('Dashboard chart data'!Y68,output_range_mid,output_range_range,0,1,1),"")</f>
        <v>3 to 10</v>
      </c>
    </row>
    <row r="22" spans="2:8" ht="15" customHeight="1" x14ac:dyDescent="0.55000000000000004">
      <c r="B22" s="194" t="str">
        <f>'Dashboard chart data'!S69</f>
        <v>Certificate - Introduction to farming - L2</v>
      </c>
      <c r="C22" s="194" t="str">
        <f>'Dashboard chart data'!T69</f>
        <v>Food and fibre training group</v>
      </c>
      <c r="D22" s="226" t="str">
        <f>IF('Dashboard chart data'!U69&gt;0,_xlfn.XLOOKUP('Dashboard chart data'!U69,output_range_mid,output_range_range,0,1,1),"")</f>
        <v>10,000 to 30,000</v>
      </c>
      <c r="E22" s="226" t="str">
        <f>IF('Dashboard chart data'!V69&gt;0,_xlfn.XLOOKUP('Dashboard chart data'!V69,output_range_mid,output_range_range,0,1,1),"")</f>
        <v>30,000 to 100,000</v>
      </c>
      <c r="F22" s="226" t="str">
        <f>IF('Dashboard chart data'!W69&gt;0,_xlfn.XLOOKUP('Dashboard chart data'!W69,output_range_mid,output_range_range,0,1,1),"")</f>
        <v>30,000 to 100,000</v>
      </c>
      <c r="G22" s="227">
        <f>IF('Dashboard chart data'!X69&gt;0,'Dashboard chart data'!X69,"")</f>
        <v>8214.3419158930392</v>
      </c>
      <c r="H22" s="226" t="str">
        <f>IF('Dashboard chart data'!Y69&gt;0,_xlfn.XLOOKUP('Dashboard chart data'!Y69,output_range_mid,output_range_range,0,1,1),"")</f>
        <v>3 to 10</v>
      </c>
    </row>
    <row r="23" spans="2:8" ht="15" hidden="1" customHeight="1" x14ac:dyDescent="0.55000000000000004">
      <c r="B23" s="194" t="str">
        <f>'Dashboard chart data'!S70</f>
        <v>Dummy 1</v>
      </c>
      <c r="C23" s="194" t="str">
        <f>'Dashboard chart data'!T70</f>
        <v>Dummy</v>
      </c>
      <c r="D23" s="226" t="str">
        <f>IF('Dashboard chart data'!U70&gt;0,_xlfn.XLOOKUP('Dashboard chart data'!U70,output_range_mid,output_range_range,0,1,1),"")</f>
        <v/>
      </c>
      <c r="E23" s="226" t="str">
        <f>IF('Dashboard chart data'!V70&gt;0,_xlfn.XLOOKUP('Dashboard chart data'!V70,output_range_mid,output_range_range,0,1,1),"")</f>
        <v/>
      </c>
      <c r="F23" s="226" t="str">
        <f>IF('Dashboard chart data'!W70&gt;0,_xlfn.XLOOKUP('Dashboard chart data'!W70,output_range_mid,output_range_range,0,1,1),"")</f>
        <v/>
      </c>
      <c r="G23" s="227" t="str">
        <f>IF('Dashboard chart data'!X70&gt;0,'Dashboard chart data'!X70,"")</f>
        <v/>
      </c>
      <c r="H23" s="226" t="str">
        <f>IF('Dashboard chart data'!Y70&gt;0,_xlfn.XLOOKUP('Dashboard chart data'!Y70,output_range_mid,output_range_range,0,1,1),"")</f>
        <v/>
      </c>
    </row>
    <row r="24" spans="2:8" ht="15" hidden="1" customHeight="1" x14ac:dyDescent="0.55000000000000004">
      <c r="B24" s="194" t="str">
        <f>'Dashboard chart data'!S71</f>
        <v>Dummy 2</v>
      </c>
      <c r="C24" s="194" t="str">
        <f>'Dashboard chart data'!T71</f>
        <v>Dummy</v>
      </c>
      <c r="D24" s="226" t="str">
        <f>IF('Dashboard chart data'!U71&gt;0,_xlfn.XLOOKUP('Dashboard chart data'!U71,output_range_mid,output_range_range,0,1,1),"")</f>
        <v/>
      </c>
      <c r="E24" s="226" t="str">
        <f>IF('Dashboard chart data'!V71&gt;0,_xlfn.XLOOKUP('Dashboard chart data'!V71,output_range_mid,output_range_range,0,1,1),"")</f>
        <v/>
      </c>
      <c r="F24" s="226" t="str">
        <f>IF('Dashboard chart data'!W71&gt;0,_xlfn.XLOOKUP('Dashboard chart data'!W71,output_range_mid,output_range_range,0,1,1),"")</f>
        <v/>
      </c>
      <c r="G24" s="227" t="str">
        <f>IF('Dashboard chart data'!X71&gt;0,'Dashboard chart data'!X71,"")</f>
        <v/>
      </c>
      <c r="H24" s="226" t="str">
        <f>IF('Dashboard chart data'!Y71&gt;0,_xlfn.XLOOKUP('Dashboard chart data'!Y71,output_range_mid,output_range_range,0,1,1),"")</f>
        <v/>
      </c>
    </row>
    <row r="25" spans="2:8" ht="15" hidden="1" customHeight="1" x14ac:dyDescent="0.55000000000000004">
      <c r="B25" s="194" t="str">
        <f>'Dashboard chart data'!S72</f>
        <v>Dummy 3</v>
      </c>
      <c r="C25" s="194" t="str">
        <f>'Dashboard chart data'!T72</f>
        <v>Dummy</v>
      </c>
      <c r="D25" s="226" t="str">
        <f>IF('Dashboard chart data'!U72&gt;0,_xlfn.XLOOKUP('Dashboard chart data'!U72,output_range_mid,output_range_range,0,1,1),"")</f>
        <v/>
      </c>
      <c r="E25" s="226" t="str">
        <f>IF('Dashboard chart data'!V72&gt;0,_xlfn.XLOOKUP('Dashboard chart data'!V72,output_range_mid,output_range_range,0,1,1),"")</f>
        <v/>
      </c>
      <c r="F25" s="226" t="str">
        <f>IF('Dashboard chart data'!W72&gt;0,_xlfn.XLOOKUP('Dashboard chart data'!W72,output_range_mid,output_range_range,0,1,1),"")</f>
        <v/>
      </c>
      <c r="G25" s="227" t="str">
        <f>IF('Dashboard chart data'!X72&gt;0,'Dashboard chart data'!X72,"")</f>
        <v/>
      </c>
      <c r="H25" s="226" t="str">
        <f>IF('Dashboard chart data'!Y72&gt;0,_xlfn.XLOOKUP('Dashboard chart data'!Y72,output_range_mid,output_range_range,0,1,1),"")</f>
        <v/>
      </c>
    </row>
    <row r="26" spans="2:8" ht="15" hidden="1" customHeight="1" x14ac:dyDescent="0.55000000000000004">
      <c r="B26" s="194" t="str">
        <f>'Dashboard chart data'!S73</f>
        <v>Dummy 4</v>
      </c>
      <c r="C26" s="194" t="str">
        <f>'Dashboard chart data'!T73</f>
        <v>Dummy</v>
      </c>
      <c r="D26" s="226" t="str">
        <f>IF('Dashboard chart data'!U73&gt;0,_xlfn.XLOOKUP('Dashboard chart data'!U73,output_range_mid,output_range_range,0,1,1),"")</f>
        <v/>
      </c>
      <c r="E26" s="226" t="str">
        <f>IF('Dashboard chart data'!V73&gt;0,_xlfn.XLOOKUP('Dashboard chart data'!V73,output_range_mid,output_range_range,0,1,1),"")</f>
        <v/>
      </c>
      <c r="F26" s="226" t="str">
        <f>IF('Dashboard chart data'!W73&gt;0,_xlfn.XLOOKUP('Dashboard chart data'!W73,output_range_mid,output_range_range,0,1,1),"")</f>
        <v/>
      </c>
      <c r="G26" s="227" t="str">
        <f>IF('Dashboard chart data'!X73&gt;0,'Dashboard chart data'!X73,"")</f>
        <v/>
      </c>
      <c r="H26" s="226" t="str">
        <f>IF('Dashboard chart data'!Y73&gt;0,_xlfn.XLOOKUP('Dashboard chart data'!Y73,output_range_mid,output_range_range,0,1,1),"")</f>
        <v/>
      </c>
    </row>
    <row r="27" spans="2:8" ht="15" hidden="1" customHeight="1" x14ac:dyDescent="0.55000000000000004">
      <c r="B27" s="194" t="str">
        <f>'Dashboard chart data'!S74</f>
        <v>Dummy 5</v>
      </c>
      <c r="C27" s="194" t="str">
        <f>'Dashboard chart data'!T74</f>
        <v>Dummy</v>
      </c>
      <c r="D27" s="226" t="str">
        <f>IF('Dashboard chart data'!U74&gt;0,_xlfn.XLOOKUP('Dashboard chart data'!U74,output_range_mid,output_range_range,0,1,1),"")</f>
        <v/>
      </c>
      <c r="E27" s="226" t="str">
        <f>IF('Dashboard chart data'!V74&gt;0,_xlfn.XLOOKUP('Dashboard chart data'!V74,output_range_mid,output_range_range,0,1,1),"")</f>
        <v/>
      </c>
      <c r="F27" s="226" t="str">
        <f>IF('Dashboard chart data'!W74&gt;0,_xlfn.XLOOKUP('Dashboard chart data'!W74,output_range_mid,output_range_range,0,1,1),"")</f>
        <v/>
      </c>
      <c r="G27" s="227" t="str">
        <f>IF('Dashboard chart data'!X74&gt;0,'Dashboard chart data'!X74,"")</f>
        <v/>
      </c>
      <c r="H27" s="226" t="str">
        <f>IF('Dashboard chart data'!Y74&gt;0,_xlfn.XLOOKUP('Dashboard chart data'!Y74,output_range_mid,output_range_range,0,1,1),"")</f>
        <v/>
      </c>
    </row>
    <row r="28" spans="2:8" ht="15" hidden="1" customHeight="1" x14ac:dyDescent="0.55000000000000004">
      <c r="B28" s="194" t="str">
        <f>'Dashboard chart data'!S75</f>
        <v>Dummy 6</v>
      </c>
      <c r="C28" s="194" t="str">
        <f>'Dashboard chart data'!T75</f>
        <v>Dummy</v>
      </c>
      <c r="D28" s="226" t="str">
        <f>IF('Dashboard chart data'!U75&gt;0,_xlfn.XLOOKUP('Dashboard chart data'!U75,output_range_mid,output_range_range,0,1,1),"")</f>
        <v/>
      </c>
      <c r="E28" s="226" t="str">
        <f>IF('Dashboard chart data'!V75&gt;0,_xlfn.XLOOKUP('Dashboard chart data'!V75,output_range_mid,output_range_range,0,1,1),"")</f>
        <v/>
      </c>
      <c r="F28" s="226" t="str">
        <f>IF('Dashboard chart data'!W75&gt;0,_xlfn.XLOOKUP('Dashboard chart data'!W75,output_range_mid,output_range_range,0,1,1),"")</f>
        <v/>
      </c>
      <c r="G28" s="227" t="str">
        <f>IF('Dashboard chart data'!X75&gt;0,'Dashboard chart data'!X75,"")</f>
        <v/>
      </c>
      <c r="H28" s="226" t="str">
        <f>IF('Dashboard chart data'!Y75&gt;0,_xlfn.XLOOKUP('Dashboard chart data'!Y75,output_range_mid,output_range_range,0,1,1),"")</f>
        <v/>
      </c>
    </row>
    <row r="29" spans="2:8" ht="15" hidden="1" customHeight="1" x14ac:dyDescent="0.55000000000000004">
      <c r="B29" s="194" t="str">
        <f>'Dashboard chart data'!S76</f>
        <v>Dummy 7</v>
      </c>
      <c r="C29" s="194" t="str">
        <f>'Dashboard chart data'!T76</f>
        <v>Dummy</v>
      </c>
      <c r="D29" s="226" t="str">
        <f>IF('Dashboard chart data'!U76&gt;0,_xlfn.XLOOKUP('Dashboard chart data'!U76,output_range_mid,output_range_range,0,1,1),"")</f>
        <v/>
      </c>
      <c r="E29" s="226" t="str">
        <f>IF('Dashboard chart data'!V76&gt;0,_xlfn.XLOOKUP('Dashboard chart data'!V76,output_range_mid,output_range_range,0,1,1),"")</f>
        <v/>
      </c>
      <c r="F29" s="226" t="str">
        <f>IF('Dashboard chart data'!W76&gt;0,_xlfn.XLOOKUP('Dashboard chart data'!W76,output_range_mid,output_range_range,0,1,1),"")</f>
        <v/>
      </c>
      <c r="G29" s="227" t="str">
        <f>IF('Dashboard chart data'!X76&gt;0,'Dashboard chart data'!X76,"")</f>
        <v/>
      </c>
      <c r="H29" s="226" t="str">
        <f>IF('Dashboard chart data'!Y76&gt;0,_xlfn.XLOOKUP('Dashboard chart data'!Y76,output_range_mid,output_range_range,0,1,1),"")</f>
        <v/>
      </c>
    </row>
    <row r="30" spans="2:8" ht="15" hidden="1" customHeight="1" x14ac:dyDescent="0.55000000000000004">
      <c r="B30" s="194" t="str">
        <f>'Dashboard chart data'!S77</f>
        <v>Dummy 8</v>
      </c>
      <c r="C30" s="194" t="str">
        <f>'Dashboard chart data'!T77</f>
        <v>Dummy</v>
      </c>
      <c r="D30" s="226" t="str">
        <f>IF('Dashboard chart data'!U77&gt;0,_xlfn.XLOOKUP('Dashboard chart data'!U77,output_range_mid,output_range_range,0,1,1),"")</f>
        <v/>
      </c>
      <c r="E30" s="226" t="str">
        <f>IF('Dashboard chart data'!V77&gt;0,_xlfn.XLOOKUP('Dashboard chart data'!V77,output_range_mid,output_range_range,0,1,1),"")</f>
        <v/>
      </c>
      <c r="F30" s="226" t="str">
        <f>IF('Dashboard chart data'!W77&gt;0,_xlfn.XLOOKUP('Dashboard chart data'!W77,output_range_mid,output_range_range,0,1,1),"")</f>
        <v/>
      </c>
      <c r="G30" s="227" t="str">
        <f>IF('Dashboard chart data'!X77&gt;0,'Dashboard chart data'!X77,"")</f>
        <v/>
      </c>
      <c r="H30" s="226" t="str">
        <f>IF('Dashboard chart data'!Y77&gt;0,_xlfn.XLOOKUP('Dashboard chart data'!Y77,output_range_mid,output_range_range,0,1,1),"")</f>
        <v/>
      </c>
    </row>
    <row r="31" spans="2:8" ht="15" hidden="1" customHeight="1" x14ac:dyDescent="0.55000000000000004">
      <c r="B31" s="194" t="str">
        <f>'Dashboard chart data'!S78</f>
        <v>Dummy 9</v>
      </c>
      <c r="C31" s="194" t="str">
        <f>'Dashboard chart data'!T78</f>
        <v>Dummy</v>
      </c>
      <c r="D31" s="226" t="str">
        <f>IF('Dashboard chart data'!U78&gt;0,_xlfn.XLOOKUP('Dashboard chart data'!U78,output_range_mid,output_range_range,0,1,1),"")</f>
        <v/>
      </c>
      <c r="E31" s="226" t="str">
        <f>IF('Dashboard chart data'!V78&gt;0,_xlfn.XLOOKUP('Dashboard chart data'!V78,output_range_mid,output_range_range,0,1,1),"")</f>
        <v/>
      </c>
      <c r="F31" s="226" t="str">
        <f>IF('Dashboard chart data'!W78&gt;0,_xlfn.XLOOKUP('Dashboard chart data'!W78,output_range_mid,output_range_range,0,1,1),"")</f>
        <v/>
      </c>
      <c r="G31" s="227" t="str">
        <f>IF('Dashboard chart data'!X78&gt;0,'Dashboard chart data'!X78,"")</f>
        <v/>
      </c>
      <c r="H31" s="226" t="str">
        <f>IF('Dashboard chart data'!Y78&gt;0,_xlfn.XLOOKUP('Dashboard chart data'!Y78,output_range_mid,output_range_range,0,1,1),"")</f>
        <v/>
      </c>
    </row>
    <row r="32" spans="2:8" ht="15" hidden="1" customHeight="1" x14ac:dyDescent="0.55000000000000004">
      <c r="B32" s="194" t="str">
        <f>'Dashboard chart data'!S79</f>
        <v>Dummy 10</v>
      </c>
      <c r="C32" s="194" t="str">
        <f>'Dashboard chart data'!T79</f>
        <v>Dummy</v>
      </c>
      <c r="D32" s="226" t="str">
        <f>IF('Dashboard chart data'!U79&gt;0,_xlfn.XLOOKUP('Dashboard chart data'!U79,output_range_mid,output_range_range,0,1,1),"")</f>
        <v/>
      </c>
      <c r="E32" s="226" t="str">
        <f>IF('Dashboard chart data'!V79&gt;0,_xlfn.XLOOKUP('Dashboard chart data'!V79,output_range_mid,output_range_range,0,1,1),"")</f>
        <v/>
      </c>
      <c r="F32" s="226" t="str">
        <f>IF('Dashboard chart data'!W79&gt;0,_xlfn.XLOOKUP('Dashboard chart data'!W79,output_range_mid,output_range_range,0,1,1),"")</f>
        <v/>
      </c>
      <c r="G32" s="227" t="str">
        <f>IF('Dashboard chart data'!X79&gt;0,'Dashboard chart data'!X79,"")</f>
        <v/>
      </c>
      <c r="H32" s="226" t="str">
        <f>IF('Dashboard chart data'!Y79&gt;0,_xlfn.XLOOKUP('Dashboard chart data'!Y79,output_range_mid,output_range_range,0,1,1),"")</f>
        <v/>
      </c>
    </row>
    <row r="33" spans="2:8" ht="15" hidden="1" customHeight="1" x14ac:dyDescent="0.55000000000000004">
      <c r="B33" s="194" t="str">
        <f>'Dashboard chart data'!S80</f>
        <v>Dummy 11</v>
      </c>
      <c r="C33" s="194" t="str">
        <f>'Dashboard chart data'!T80</f>
        <v>Dummy</v>
      </c>
      <c r="D33" s="226" t="str">
        <f>IF('Dashboard chart data'!U80&gt;0,_xlfn.XLOOKUP('Dashboard chart data'!U80,output_range_mid,output_range_range,0,1,1),"")</f>
        <v/>
      </c>
      <c r="E33" s="226" t="str">
        <f>IF('Dashboard chart data'!V80&gt;0,_xlfn.XLOOKUP('Dashboard chart data'!V80,output_range_mid,output_range_range,0,1,1),"")</f>
        <v/>
      </c>
      <c r="F33" s="226" t="str">
        <f>IF('Dashboard chart data'!W80&gt;0,_xlfn.XLOOKUP('Dashboard chart data'!W80,output_range_mid,output_range_range,0,1,1),"")</f>
        <v/>
      </c>
      <c r="G33" s="227" t="str">
        <f>IF('Dashboard chart data'!X80&gt;0,'Dashboard chart data'!X80,"")</f>
        <v/>
      </c>
      <c r="H33" s="226" t="str">
        <f>IF('Dashboard chart data'!Y80&gt;0,_xlfn.XLOOKUP('Dashboard chart data'!Y80,output_range_mid,output_range_range,0,1,1),"")</f>
        <v/>
      </c>
    </row>
    <row r="34" spans="2:8" ht="15" hidden="1" customHeight="1" x14ac:dyDescent="0.55000000000000004">
      <c r="B34" s="194" t="str">
        <f>'Dashboard chart data'!S81</f>
        <v>Dummy 12</v>
      </c>
      <c r="C34" s="194" t="str">
        <f>'Dashboard chart data'!T81</f>
        <v>Dummy</v>
      </c>
      <c r="D34" s="226" t="str">
        <f>IF('Dashboard chart data'!U81&gt;0,_xlfn.XLOOKUP('Dashboard chart data'!U81,output_range_mid,output_range_range,0,1,1),"")</f>
        <v/>
      </c>
      <c r="E34" s="226" t="str">
        <f>IF('Dashboard chart data'!V81&gt;0,_xlfn.XLOOKUP('Dashboard chart data'!V81,output_range_mid,output_range_range,0,1,1),"")</f>
        <v/>
      </c>
      <c r="F34" s="226" t="str">
        <f>IF('Dashboard chart data'!W81&gt;0,_xlfn.XLOOKUP('Dashboard chart data'!W81,output_range_mid,output_range_range,0,1,1),"")</f>
        <v/>
      </c>
      <c r="G34" s="227" t="str">
        <f>IF('Dashboard chart data'!X81&gt;0,'Dashboard chart data'!X81,"")</f>
        <v/>
      </c>
      <c r="H34" s="226" t="str">
        <f>IF('Dashboard chart data'!Y81&gt;0,_xlfn.XLOOKUP('Dashboard chart data'!Y81,output_range_mid,output_range_range,0,1,1),"")</f>
        <v/>
      </c>
    </row>
    <row r="35" spans="2:8" ht="15" hidden="1" customHeight="1" x14ac:dyDescent="0.55000000000000004">
      <c r="B35" s="194" t="str">
        <f>'Dashboard chart data'!S82</f>
        <v>Dummy 13</v>
      </c>
      <c r="C35" s="194" t="str">
        <f>'Dashboard chart data'!T82</f>
        <v>Dummy</v>
      </c>
      <c r="D35" s="226" t="str">
        <f>IF('Dashboard chart data'!U82&gt;0,_xlfn.XLOOKUP('Dashboard chart data'!U82,output_range_mid,output_range_range,0,1,1),"")</f>
        <v/>
      </c>
      <c r="E35" s="226" t="str">
        <f>IF('Dashboard chart data'!V82&gt;0,_xlfn.XLOOKUP('Dashboard chart data'!V82,output_range_mid,output_range_range,0,1,1),"")</f>
        <v/>
      </c>
      <c r="F35" s="226" t="str">
        <f>IF('Dashboard chart data'!W82&gt;0,_xlfn.XLOOKUP('Dashboard chart data'!W82,output_range_mid,output_range_range,0,1,1),"")</f>
        <v/>
      </c>
      <c r="G35" s="227" t="str">
        <f>IF('Dashboard chart data'!X82&gt;0,'Dashboard chart data'!X82,"")</f>
        <v/>
      </c>
      <c r="H35" s="226" t="str">
        <f>IF('Dashboard chart data'!Y82&gt;0,_xlfn.XLOOKUP('Dashboard chart data'!Y82,output_range_mid,output_range_range,0,1,1),"")</f>
        <v/>
      </c>
    </row>
    <row r="36" spans="2:8" ht="15" hidden="1" customHeight="1" x14ac:dyDescent="0.55000000000000004">
      <c r="B36" s="194" t="str">
        <f>'Dashboard chart data'!S83</f>
        <v>Dummy 14</v>
      </c>
      <c r="C36" s="194" t="str">
        <f>'Dashboard chart data'!T83</f>
        <v>Dummy</v>
      </c>
      <c r="D36" s="226" t="str">
        <f>IF('Dashboard chart data'!U83&gt;0,_xlfn.XLOOKUP('Dashboard chart data'!U83,output_range_mid,output_range_range,0,1,1),"")</f>
        <v/>
      </c>
      <c r="E36" s="226" t="str">
        <f>IF('Dashboard chart data'!V83&gt;0,_xlfn.XLOOKUP('Dashboard chart data'!V83,output_range_mid,output_range_range,0,1,1),"")</f>
        <v/>
      </c>
      <c r="F36" s="226" t="str">
        <f>IF('Dashboard chart data'!W83&gt;0,_xlfn.XLOOKUP('Dashboard chart data'!W83,output_range_mid,output_range_range,0,1,1),"")</f>
        <v/>
      </c>
      <c r="G36" s="227" t="str">
        <f>IF('Dashboard chart data'!X83&gt;0,'Dashboard chart data'!X83,"")</f>
        <v/>
      </c>
      <c r="H36" s="226" t="str">
        <f>IF('Dashboard chart data'!Y83&gt;0,_xlfn.XLOOKUP('Dashboard chart data'!Y83,output_range_mid,output_range_range,0,1,1),"")</f>
        <v/>
      </c>
    </row>
    <row r="37" spans="2:8" ht="15" hidden="1" customHeight="1" x14ac:dyDescent="0.55000000000000004">
      <c r="B37" s="194" t="str">
        <f>'Dashboard chart data'!S84</f>
        <v>Dummy 15</v>
      </c>
      <c r="C37" s="194" t="str">
        <f>'Dashboard chart data'!T84</f>
        <v>Dummy</v>
      </c>
      <c r="D37" s="226" t="str">
        <f>IF('Dashboard chart data'!U84&gt;0,_xlfn.XLOOKUP('Dashboard chart data'!U84,output_range_mid,output_range_range,0,1,1),"")</f>
        <v/>
      </c>
      <c r="E37" s="226" t="str">
        <f>IF('Dashboard chart data'!V84&gt;0,_xlfn.XLOOKUP('Dashboard chart data'!V84,output_range_mid,output_range_range,0,1,1),"")</f>
        <v/>
      </c>
      <c r="F37" s="226" t="str">
        <f>IF('Dashboard chart data'!W84&gt;0,_xlfn.XLOOKUP('Dashboard chart data'!W84,output_range_mid,output_range_range,0,1,1),"")</f>
        <v/>
      </c>
      <c r="G37" s="227" t="str">
        <f>IF('Dashboard chart data'!X84&gt;0,'Dashboard chart data'!X84,"")</f>
        <v/>
      </c>
      <c r="H37" s="226" t="str">
        <f>IF('Dashboard chart data'!Y84&gt;0,_xlfn.XLOOKUP('Dashboard chart data'!Y84,output_range_mid,output_range_range,0,1,1),"")</f>
        <v/>
      </c>
    </row>
    <row r="38" spans="2:8" ht="15" hidden="1" customHeight="1" x14ac:dyDescent="0.55000000000000004">
      <c r="B38" s="194" t="str">
        <f>'Dashboard chart data'!S85</f>
        <v>Dummy 16</v>
      </c>
      <c r="C38" s="194" t="str">
        <f>'Dashboard chart data'!T85</f>
        <v>Dummy</v>
      </c>
      <c r="D38" s="226" t="str">
        <f>IF('Dashboard chart data'!U85&gt;0,_xlfn.XLOOKUP('Dashboard chart data'!U85,output_range_mid,output_range_range,0,1,1),"")</f>
        <v/>
      </c>
      <c r="E38" s="226" t="str">
        <f>IF('Dashboard chart data'!V85&gt;0,_xlfn.XLOOKUP('Dashboard chart data'!V85,output_range_mid,output_range_range,0,1,1),"")</f>
        <v/>
      </c>
      <c r="F38" s="226" t="str">
        <f>IF('Dashboard chart data'!W85&gt;0,_xlfn.XLOOKUP('Dashboard chart data'!W85,output_range_mid,output_range_range,0,1,1),"")</f>
        <v/>
      </c>
      <c r="G38" s="227" t="str">
        <f>IF('Dashboard chart data'!X85&gt;0,'Dashboard chart data'!X85,"")</f>
        <v/>
      </c>
      <c r="H38" s="226" t="str">
        <f>IF('Dashboard chart data'!Y85&gt;0,_xlfn.XLOOKUP('Dashboard chart data'!Y85,output_range_mid,output_range_range,0,1,1),"")</f>
        <v/>
      </c>
    </row>
    <row r="39" spans="2:8" ht="15" hidden="1" customHeight="1" x14ac:dyDescent="0.55000000000000004">
      <c r="B39" s="194" t="str">
        <f>'Dashboard chart data'!S86</f>
        <v>Dummy 17</v>
      </c>
      <c r="C39" s="194" t="str">
        <f>'Dashboard chart data'!T86</f>
        <v>Dummy</v>
      </c>
      <c r="D39" s="226" t="str">
        <f>IF('Dashboard chart data'!U86&gt;0,_xlfn.XLOOKUP('Dashboard chart data'!U86,output_range_mid,output_range_range,0,1,1),"")</f>
        <v/>
      </c>
      <c r="E39" s="226" t="str">
        <f>IF('Dashboard chart data'!V86&gt;0,_xlfn.XLOOKUP('Dashboard chart data'!V86,output_range_mid,output_range_range,0,1,1),"")</f>
        <v/>
      </c>
      <c r="F39" s="226" t="str">
        <f>IF('Dashboard chart data'!W86&gt;0,_xlfn.XLOOKUP('Dashboard chart data'!W86,output_range_mid,output_range_range,0,1,1),"")</f>
        <v/>
      </c>
      <c r="G39" s="227" t="str">
        <f>IF('Dashboard chart data'!X86&gt;0,'Dashboard chart data'!X86,"")</f>
        <v/>
      </c>
      <c r="H39" s="226" t="str">
        <f>IF('Dashboard chart data'!Y86&gt;0,_xlfn.XLOOKUP('Dashboard chart data'!Y86,output_range_mid,output_range_range,0,1,1),"")</f>
        <v/>
      </c>
    </row>
    <row r="40" spans="2:8" ht="15" hidden="1" customHeight="1" x14ac:dyDescent="0.55000000000000004">
      <c r="B40" s="194" t="str">
        <f>'Dashboard chart data'!S87</f>
        <v>Dummy 18</v>
      </c>
      <c r="C40" s="194" t="str">
        <f>'Dashboard chart data'!T87</f>
        <v>Dummy</v>
      </c>
      <c r="D40" s="226" t="str">
        <f>IF('Dashboard chart data'!U87&gt;0,_xlfn.XLOOKUP('Dashboard chart data'!U87,output_range_mid,output_range_range,0,1,1),"")</f>
        <v/>
      </c>
      <c r="E40" s="226" t="str">
        <f>IF('Dashboard chart data'!V87&gt;0,_xlfn.XLOOKUP('Dashboard chart data'!V87,output_range_mid,output_range_range,0,1,1),"")</f>
        <v/>
      </c>
      <c r="F40" s="226" t="str">
        <f>IF('Dashboard chart data'!W87&gt;0,_xlfn.XLOOKUP('Dashboard chart data'!W87,output_range_mid,output_range_range,0,1,1),"")</f>
        <v/>
      </c>
      <c r="G40" s="227" t="str">
        <f>IF('Dashboard chart data'!X87&gt;0,'Dashboard chart data'!X87,"")</f>
        <v/>
      </c>
      <c r="H40" s="226" t="str">
        <f>IF('Dashboard chart data'!Y87&gt;0,_xlfn.XLOOKUP('Dashboard chart data'!Y87,output_range_mid,output_range_range,0,1,1),"")</f>
        <v/>
      </c>
    </row>
    <row r="41" spans="2:8" ht="15" hidden="1" customHeight="1" x14ac:dyDescent="0.55000000000000004">
      <c r="D41" s="226"/>
      <c r="E41" s="226"/>
      <c r="F41" s="226"/>
      <c r="G41" s="227" t="str">
        <f>IF('Dashboard chart data'!X88&gt;0,'Dashboard chart data'!X88,"")</f>
        <v/>
      </c>
      <c r="H41" s="226"/>
    </row>
    <row r="42" spans="2:8" ht="15" customHeight="1" x14ac:dyDescent="0.55000000000000004">
      <c r="D42" s="226"/>
      <c r="E42" s="226"/>
      <c r="F42" s="226"/>
      <c r="G42" s="226"/>
      <c r="H42" s="226"/>
    </row>
    <row r="43" spans="2:8" ht="15" customHeight="1" x14ac:dyDescent="0.55000000000000004">
      <c r="D43" s="226"/>
      <c r="E43" s="226"/>
      <c r="F43" s="226"/>
      <c r="G43" s="226"/>
      <c r="H43" s="226"/>
    </row>
    <row r="44" spans="2:8" ht="15" customHeight="1" x14ac:dyDescent="0.55000000000000004">
      <c r="D44" s="226"/>
      <c r="E44" s="226"/>
      <c r="F44" s="226"/>
      <c r="G44" s="226"/>
      <c r="H44" s="226"/>
    </row>
  </sheetData>
  <autoFilter ref="B2:H41" xr:uid="{58C32F57-85D9-4051-81D8-979E9BE06CF5}">
    <filterColumn colId="1">
      <filters>
        <filter val="Food and fibre training group"/>
      </filters>
    </filterColumn>
  </autoFilter>
  <conditionalFormatting sqref="B3:C44">
    <cfRule type="containsText" dxfId="0" priority="1" operator="containsText" text="Programme">
      <formula>NOT(ISERROR(SEARCH("Programme",B3)))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9BF4A-211C-41F6-9C1F-8E73389BA931}">
  <sheetPr codeName="Sheet6">
    <tabColor theme="0" tint="-0.249977111117893"/>
  </sheetPr>
  <dimension ref="A1:D183"/>
  <sheetViews>
    <sheetView topLeftCell="A37" workbookViewId="0">
      <selection activeCell="A8" sqref="A8:A11"/>
    </sheetView>
  </sheetViews>
  <sheetFormatPr defaultColWidth="8.734375" defaultRowHeight="12.9" x14ac:dyDescent="0.5"/>
  <cols>
    <col min="1" max="1" width="54.15625" style="3" customWidth="1"/>
    <col min="2" max="2" width="22.734375" style="3" customWidth="1"/>
    <col min="3" max="3" width="27.89453125" style="3" bestFit="1" customWidth="1"/>
    <col min="4" max="16384" width="8.734375" style="3"/>
  </cols>
  <sheetData>
    <row r="1" spans="1:2" ht="50.05" customHeight="1" x14ac:dyDescent="0.5">
      <c r="A1" s="107" t="s">
        <v>300</v>
      </c>
      <c r="B1" s="108"/>
    </row>
    <row r="2" spans="1:2" x14ac:dyDescent="0.5">
      <c r="B2" s="108"/>
    </row>
    <row r="3" spans="1:2" x14ac:dyDescent="0.5">
      <c r="A3" s="1" t="s">
        <v>21</v>
      </c>
      <c r="B3" s="108"/>
    </row>
    <row r="4" spans="1:2" x14ac:dyDescent="0.5">
      <c r="A4" s="66" t="s">
        <v>9</v>
      </c>
      <c r="B4" s="108"/>
    </row>
    <row r="5" spans="1:2" x14ac:dyDescent="0.5">
      <c r="A5" s="58" t="s">
        <v>1</v>
      </c>
      <c r="B5" s="108"/>
    </row>
    <row r="6" spans="1:2" x14ac:dyDescent="0.5">
      <c r="B6" s="108"/>
    </row>
    <row r="7" spans="1:2" x14ac:dyDescent="0.5">
      <c r="A7" s="9" t="s">
        <v>222</v>
      </c>
      <c r="B7" s="108"/>
    </row>
    <row r="8" spans="1:2" x14ac:dyDescent="0.5">
      <c r="A8" s="65" t="s">
        <v>10</v>
      </c>
      <c r="B8" s="108"/>
    </row>
    <row r="9" spans="1:2" x14ac:dyDescent="0.5">
      <c r="A9" s="60" t="s">
        <v>5</v>
      </c>
      <c r="B9" s="108"/>
    </row>
    <row r="10" spans="1:2" x14ac:dyDescent="0.5">
      <c r="A10" s="60" t="s">
        <v>6</v>
      </c>
      <c r="B10" s="108"/>
    </row>
    <row r="11" spans="1:2" x14ac:dyDescent="0.5">
      <c r="A11" s="60" t="s">
        <v>7</v>
      </c>
      <c r="B11" s="108"/>
    </row>
    <row r="12" spans="1:2" x14ac:dyDescent="0.5">
      <c r="B12" s="108"/>
    </row>
    <row r="13" spans="1:2" x14ac:dyDescent="0.5">
      <c r="A13" s="52" t="s">
        <v>223</v>
      </c>
      <c r="B13" s="108"/>
    </row>
    <row r="14" spans="1:2" x14ac:dyDescent="0.5">
      <c r="A14" s="64" t="s">
        <v>37</v>
      </c>
      <c r="B14" s="108"/>
    </row>
    <row r="15" spans="1:2" x14ac:dyDescent="0.5">
      <c r="A15" s="61" t="s">
        <v>38</v>
      </c>
      <c r="B15" s="108"/>
    </row>
    <row r="16" spans="1:2" x14ac:dyDescent="0.5">
      <c r="A16" s="61" t="s">
        <v>0</v>
      </c>
      <c r="B16" s="108"/>
    </row>
    <row r="17" spans="1:2" x14ac:dyDescent="0.5">
      <c r="A17" s="61" t="s">
        <v>39</v>
      </c>
      <c r="B17" s="108"/>
    </row>
    <row r="18" spans="1:2" x14ac:dyDescent="0.5">
      <c r="A18" s="61" t="s">
        <v>40</v>
      </c>
      <c r="B18" s="108"/>
    </row>
    <row r="19" spans="1:2" x14ac:dyDescent="0.5">
      <c r="A19" s="61" t="s">
        <v>41</v>
      </c>
    </row>
    <row r="20" spans="1:2" x14ac:dyDescent="0.5">
      <c r="A20" s="61" t="s">
        <v>42</v>
      </c>
    </row>
    <row r="21" spans="1:2" x14ac:dyDescent="0.5">
      <c r="A21" s="61" t="s">
        <v>43</v>
      </c>
    </row>
    <row r="22" spans="1:2" x14ac:dyDescent="0.5">
      <c r="A22" s="61" t="s">
        <v>450</v>
      </c>
    </row>
    <row r="23" spans="1:2" x14ac:dyDescent="0.5">
      <c r="A23" s="61" t="s">
        <v>45</v>
      </c>
    </row>
    <row r="24" spans="1:2" x14ac:dyDescent="0.5">
      <c r="A24" s="61" t="s">
        <v>46</v>
      </c>
    </row>
    <row r="25" spans="1:2" x14ac:dyDescent="0.5">
      <c r="A25" s="61" t="s">
        <v>47</v>
      </c>
    </row>
    <row r="26" spans="1:2" x14ac:dyDescent="0.5">
      <c r="A26" s="61" t="s">
        <v>48</v>
      </c>
    </row>
    <row r="27" spans="1:2" x14ac:dyDescent="0.5">
      <c r="A27" s="61" t="s">
        <v>49</v>
      </c>
    </row>
    <row r="28" spans="1:2" x14ac:dyDescent="0.5">
      <c r="A28" s="61" t="s">
        <v>50</v>
      </c>
    </row>
    <row r="30" spans="1:2" x14ac:dyDescent="0.5">
      <c r="A30" s="54" t="s">
        <v>224</v>
      </c>
      <c r="B30" s="3" t="s">
        <v>387</v>
      </c>
    </row>
    <row r="31" spans="1:2" x14ac:dyDescent="0.5">
      <c r="A31" s="63" t="s">
        <v>80</v>
      </c>
      <c r="B31" s="3">
        <v>10</v>
      </c>
    </row>
    <row r="32" spans="1:2" x14ac:dyDescent="0.5">
      <c r="A32" s="62" t="s">
        <v>81</v>
      </c>
      <c r="B32" s="3">
        <v>9</v>
      </c>
    </row>
    <row r="33" spans="1:2" x14ac:dyDescent="0.5">
      <c r="A33" s="62" t="s">
        <v>82</v>
      </c>
      <c r="B33" s="3">
        <v>8</v>
      </c>
    </row>
    <row r="34" spans="1:2" x14ac:dyDescent="0.5">
      <c r="A34" s="62" t="s">
        <v>83</v>
      </c>
      <c r="B34" s="3">
        <v>7</v>
      </c>
    </row>
    <row r="35" spans="1:2" x14ac:dyDescent="0.5">
      <c r="A35" s="62" t="s">
        <v>84</v>
      </c>
      <c r="B35" s="3">
        <v>6</v>
      </c>
    </row>
    <row r="36" spans="1:2" x14ac:dyDescent="0.5">
      <c r="A36" s="62" t="s">
        <v>85</v>
      </c>
      <c r="B36" s="3">
        <v>5</v>
      </c>
    </row>
    <row r="37" spans="1:2" x14ac:dyDescent="0.5">
      <c r="A37" s="62" t="s">
        <v>86</v>
      </c>
      <c r="B37" s="3">
        <v>4</v>
      </c>
    </row>
    <row r="38" spans="1:2" x14ac:dyDescent="0.5">
      <c r="A38" s="62" t="s">
        <v>561</v>
      </c>
      <c r="B38" s="3">
        <v>4</v>
      </c>
    </row>
    <row r="39" spans="1:2" x14ac:dyDescent="0.5">
      <c r="A39" s="62" t="s">
        <v>87</v>
      </c>
      <c r="B39" s="3">
        <v>3</v>
      </c>
    </row>
    <row r="40" spans="1:2" x14ac:dyDescent="0.5">
      <c r="A40" s="62" t="s">
        <v>88</v>
      </c>
      <c r="B40" s="3">
        <v>2</v>
      </c>
    </row>
    <row r="41" spans="1:2" x14ac:dyDescent="0.5">
      <c r="A41" s="62" t="s">
        <v>89</v>
      </c>
      <c r="B41" s="3">
        <v>0</v>
      </c>
    </row>
    <row r="43" spans="1:2" x14ac:dyDescent="0.5">
      <c r="A43" s="35" t="s">
        <v>196</v>
      </c>
      <c r="B43" s="37" t="s">
        <v>197</v>
      </c>
    </row>
    <row r="44" spans="1:2" x14ac:dyDescent="0.5">
      <c r="A44" s="67" t="s">
        <v>106</v>
      </c>
      <c r="B44" s="67" t="s">
        <v>105</v>
      </c>
    </row>
    <row r="45" spans="1:2" x14ac:dyDescent="0.5">
      <c r="A45" s="59" t="s">
        <v>109</v>
      </c>
      <c r="B45" s="59" t="s">
        <v>108</v>
      </c>
    </row>
    <row r="46" spans="1:2" x14ac:dyDescent="0.5">
      <c r="A46" s="51" t="s">
        <v>112</v>
      </c>
      <c r="B46" s="51" t="s">
        <v>111</v>
      </c>
    </row>
    <row r="47" spans="1:2" x14ac:dyDescent="0.5">
      <c r="A47" s="59" t="s">
        <v>115</v>
      </c>
      <c r="B47" s="59" t="s">
        <v>114</v>
      </c>
    </row>
    <row r="48" spans="1:2" x14ac:dyDescent="0.5">
      <c r="A48" s="51" t="s">
        <v>118</v>
      </c>
      <c r="B48" s="51" t="s">
        <v>117</v>
      </c>
    </row>
    <row r="49" spans="1:2" x14ac:dyDescent="0.5">
      <c r="A49" s="59" t="s">
        <v>121</v>
      </c>
      <c r="B49" s="59" t="s">
        <v>120</v>
      </c>
    </row>
    <row r="50" spans="1:2" x14ac:dyDescent="0.5">
      <c r="A50" s="51" t="s">
        <v>124</v>
      </c>
      <c r="B50" s="51" t="s">
        <v>123</v>
      </c>
    </row>
    <row r="51" spans="1:2" x14ac:dyDescent="0.5">
      <c r="A51" s="59" t="s">
        <v>127</v>
      </c>
      <c r="B51" s="59" t="s">
        <v>126</v>
      </c>
    </row>
    <row r="52" spans="1:2" x14ac:dyDescent="0.5">
      <c r="A52" s="51" t="s">
        <v>130</v>
      </c>
      <c r="B52" s="51" t="s">
        <v>129</v>
      </c>
    </row>
    <row r="53" spans="1:2" x14ac:dyDescent="0.5">
      <c r="A53" s="59" t="s">
        <v>132</v>
      </c>
      <c r="B53" s="59" t="s">
        <v>131</v>
      </c>
    </row>
    <row r="54" spans="1:2" x14ac:dyDescent="0.5">
      <c r="A54" s="51" t="s">
        <v>135</v>
      </c>
      <c r="B54" s="51" t="s">
        <v>134</v>
      </c>
    </row>
    <row r="55" spans="1:2" x14ac:dyDescent="0.5">
      <c r="A55" s="59" t="s">
        <v>138</v>
      </c>
      <c r="B55" s="59" t="s">
        <v>137</v>
      </c>
    </row>
    <row r="56" spans="1:2" x14ac:dyDescent="0.5">
      <c r="A56" s="51" t="s">
        <v>141</v>
      </c>
      <c r="B56" s="51" t="s">
        <v>140</v>
      </c>
    </row>
    <row r="57" spans="1:2" x14ac:dyDescent="0.5">
      <c r="A57" s="59" t="s">
        <v>144</v>
      </c>
      <c r="B57" s="59" t="s">
        <v>143</v>
      </c>
    </row>
    <row r="58" spans="1:2" x14ac:dyDescent="0.5">
      <c r="A58" s="51" t="s">
        <v>147</v>
      </c>
      <c r="B58" s="51" t="s">
        <v>146</v>
      </c>
    </row>
    <row r="59" spans="1:2" x14ac:dyDescent="0.5">
      <c r="A59" s="59" t="s">
        <v>149</v>
      </c>
      <c r="B59" s="59" t="s">
        <v>148</v>
      </c>
    </row>
    <row r="60" spans="1:2" x14ac:dyDescent="0.5">
      <c r="A60" s="51" t="s">
        <v>151</v>
      </c>
      <c r="B60" s="51" t="s">
        <v>150</v>
      </c>
    </row>
    <row r="61" spans="1:2" x14ac:dyDescent="0.5">
      <c r="A61" s="59" t="s">
        <v>153</v>
      </c>
      <c r="B61" s="59" t="s">
        <v>152</v>
      </c>
    </row>
    <row r="62" spans="1:2" x14ac:dyDescent="0.5">
      <c r="A62" s="51" t="s">
        <v>156</v>
      </c>
      <c r="B62" s="51" t="s">
        <v>155</v>
      </c>
    </row>
    <row r="63" spans="1:2" x14ac:dyDescent="0.5">
      <c r="A63" s="59" t="s">
        <v>159</v>
      </c>
      <c r="B63" s="59" t="s">
        <v>158</v>
      </c>
    </row>
    <row r="64" spans="1:2" x14ac:dyDescent="0.5">
      <c r="A64" s="51" t="s">
        <v>161</v>
      </c>
      <c r="B64" s="51" t="s">
        <v>160</v>
      </c>
    </row>
    <row r="65" spans="1:2" x14ac:dyDescent="0.5">
      <c r="A65" s="59" t="s">
        <v>163</v>
      </c>
      <c r="B65" s="59" t="s">
        <v>162</v>
      </c>
    </row>
    <row r="66" spans="1:2" x14ac:dyDescent="0.5">
      <c r="A66" s="51" t="s">
        <v>166</v>
      </c>
      <c r="B66" s="51" t="s">
        <v>165</v>
      </c>
    </row>
    <row r="67" spans="1:2" x14ac:dyDescent="0.5">
      <c r="A67" s="59" t="s">
        <v>169</v>
      </c>
      <c r="B67" s="59" t="s">
        <v>168</v>
      </c>
    </row>
    <row r="68" spans="1:2" x14ac:dyDescent="0.5">
      <c r="A68" s="51" t="s">
        <v>171</v>
      </c>
      <c r="B68" s="51" t="s">
        <v>170</v>
      </c>
    </row>
    <row r="69" spans="1:2" x14ac:dyDescent="0.5">
      <c r="A69" s="59" t="s">
        <v>173</v>
      </c>
      <c r="B69" s="59" t="s">
        <v>172</v>
      </c>
    </row>
    <row r="70" spans="1:2" x14ac:dyDescent="0.5">
      <c r="A70" s="51" t="s">
        <v>175</v>
      </c>
      <c r="B70" s="51" t="s">
        <v>174</v>
      </c>
    </row>
    <row r="71" spans="1:2" x14ac:dyDescent="0.5">
      <c r="A71" s="59" t="s">
        <v>178</v>
      </c>
      <c r="B71" s="59" t="s">
        <v>177</v>
      </c>
    </row>
    <row r="72" spans="1:2" x14ac:dyDescent="0.5">
      <c r="A72" s="51" t="s">
        <v>180</v>
      </c>
      <c r="B72" s="51" t="s">
        <v>179</v>
      </c>
    </row>
    <row r="73" spans="1:2" x14ac:dyDescent="0.5">
      <c r="A73" s="59" t="s">
        <v>182</v>
      </c>
      <c r="B73" s="59" t="s">
        <v>181</v>
      </c>
    </row>
    <row r="74" spans="1:2" x14ac:dyDescent="0.5">
      <c r="A74" s="51" t="s">
        <v>184</v>
      </c>
      <c r="B74" s="51" t="s">
        <v>183</v>
      </c>
    </row>
    <row r="75" spans="1:2" x14ac:dyDescent="0.5">
      <c r="A75" s="59" t="s">
        <v>186</v>
      </c>
      <c r="B75" s="59" t="s">
        <v>185</v>
      </c>
    </row>
    <row r="76" spans="1:2" x14ac:dyDescent="0.5">
      <c r="A76" s="51" t="s">
        <v>188</v>
      </c>
      <c r="B76" s="51" t="s">
        <v>187</v>
      </c>
    </row>
    <row r="77" spans="1:2" x14ac:dyDescent="0.5">
      <c r="A77" s="59" t="s">
        <v>198</v>
      </c>
      <c r="B77" s="59" t="s">
        <v>103</v>
      </c>
    </row>
    <row r="79" spans="1:2" x14ac:dyDescent="0.5">
      <c r="A79" s="1" t="s">
        <v>319</v>
      </c>
    </row>
    <row r="80" spans="1:2" x14ac:dyDescent="0.5">
      <c r="A80" s="66" t="s">
        <v>322</v>
      </c>
    </row>
    <row r="81" spans="1:1" x14ac:dyDescent="0.5">
      <c r="A81" s="66" t="s">
        <v>320</v>
      </c>
    </row>
    <row r="82" spans="1:1" x14ac:dyDescent="0.5">
      <c r="A82" s="66" t="s">
        <v>321</v>
      </c>
    </row>
    <row r="83" spans="1:1" x14ac:dyDescent="0.5">
      <c r="A83" s="66" t="s">
        <v>570</v>
      </c>
    </row>
    <row r="84" spans="1:1" x14ac:dyDescent="0.5">
      <c r="A84" s="66" t="s">
        <v>324</v>
      </c>
    </row>
    <row r="85" spans="1:1" x14ac:dyDescent="0.5">
      <c r="A85" s="58" t="s">
        <v>78</v>
      </c>
    </row>
    <row r="87" spans="1:1" x14ac:dyDescent="0.5">
      <c r="A87" s="9" t="s">
        <v>229</v>
      </c>
    </row>
    <row r="88" spans="1:1" x14ac:dyDescent="0.5">
      <c r="A88" s="65" t="s">
        <v>208</v>
      </c>
    </row>
    <row r="89" spans="1:1" x14ac:dyDescent="0.5">
      <c r="A89" s="60" t="s">
        <v>209</v>
      </c>
    </row>
    <row r="90" spans="1:1" x14ac:dyDescent="0.5">
      <c r="A90" s="60" t="s">
        <v>210</v>
      </c>
    </row>
    <row r="91" spans="1:1" x14ac:dyDescent="0.5">
      <c r="A91" s="60" t="s">
        <v>211</v>
      </c>
    </row>
    <row r="92" spans="1:1" x14ac:dyDescent="0.5">
      <c r="A92" s="60" t="s">
        <v>212</v>
      </c>
    </row>
    <row r="94" spans="1:1" x14ac:dyDescent="0.5">
      <c r="A94" s="52" t="s">
        <v>90</v>
      </c>
    </row>
    <row r="95" spans="1:1" x14ac:dyDescent="0.5">
      <c r="A95" s="238" t="s">
        <v>543</v>
      </c>
    </row>
    <row r="96" spans="1:1" x14ac:dyDescent="0.5">
      <c r="A96" s="61" t="s">
        <v>542</v>
      </c>
    </row>
    <row r="97" spans="1:1" x14ac:dyDescent="0.5">
      <c r="A97" s="61" t="s">
        <v>91</v>
      </c>
    </row>
    <row r="98" spans="1:1" x14ac:dyDescent="0.5">
      <c r="A98" s="61" t="s">
        <v>401</v>
      </c>
    </row>
    <row r="99" spans="1:1" x14ac:dyDescent="0.5">
      <c r="A99" s="61" t="s">
        <v>393</v>
      </c>
    </row>
    <row r="101" spans="1:1" x14ac:dyDescent="0.5">
      <c r="A101" s="54" t="s">
        <v>239</v>
      </c>
    </row>
    <row r="102" spans="1:1" x14ac:dyDescent="0.5">
      <c r="A102" s="63" t="s">
        <v>233</v>
      </c>
    </row>
    <row r="103" spans="1:1" x14ac:dyDescent="0.5">
      <c r="A103" s="62" t="s">
        <v>92</v>
      </c>
    </row>
    <row r="104" spans="1:1" x14ac:dyDescent="0.5">
      <c r="A104" s="62" t="s">
        <v>93</v>
      </c>
    </row>
    <row r="105" spans="1:1" x14ac:dyDescent="0.5">
      <c r="A105" s="62" t="s">
        <v>94</v>
      </c>
    </row>
    <row r="107" spans="1:1" x14ac:dyDescent="0.5">
      <c r="A107" s="35" t="s">
        <v>257</v>
      </c>
    </row>
    <row r="108" spans="1:1" x14ac:dyDescent="0.5">
      <c r="A108" s="100" t="s">
        <v>235</v>
      </c>
    </row>
    <row r="109" spans="1:1" x14ac:dyDescent="0.5">
      <c r="A109" s="143" t="s">
        <v>330</v>
      </c>
    </row>
    <row r="110" spans="1:1" x14ac:dyDescent="0.5">
      <c r="A110" s="143" t="s">
        <v>331</v>
      </c>
    </row>
    <row r="111" spans="1:1" x14ac:dyDescent="0.5">
      <c r="A111" s="143" t="s">
        <v>332</v>
      </c>
    </row>
    <row r="112" spans="1:1" x14ac:dyDescent="0.5">
      <c r="A112" s="143" t="s">
        <v>333</v>
      </c>
    </row>
    <row r="113" spans="1:1" x14ac:dyDescent="0.5">
      <c r="A113" s="143" t="s">
        <v>334</v>
      </c>
    </row>
    <row r="114" spans="1:1" x14ac:dyDescent="0.5">
      <c r="A114" s="143" t="s">
        <v>335</v>
      </c>
    </row>
    <row r="115" spans="1:1" x14ac:dyDescent="0.5">
      <c r="A115" s="143" t="s">
        <v>336</v>
      </c>
    </row>
    <row r="116" spans="1:1" x14ac:dyDescent="0.5">
      <c r="A116" s="143" t="s">
        <v>337</v>
      </c>
    </row>
    <row r="117" spans="1:1" x14ac:dyDescent="0.5">
      <c r="A117" s="143" t="s">
        <v>338</v>
      </c>
    </row>
    <row r="118" spans="1:1" x14ac:dyDescent="0.5">
      <c r="A118" s="143" t="s">
        <v>339</v>
      </c>
    </row>
    <row r="119" spans="1:1" x14ac:dyDescent="0.5">
      <c r="A119" s="143" t="s">
        <v>340</v>
      </c>
    </row>
    <row r="120" spans="1:1" x14ac:dyDescent="0.5">
      <c r="A120" s="143" t="s">
        <v>341</v>
      </c>
    </row>
    <row r="121" spans="1:1" x14ac:dyDescent="0.5">
      <c r="A121" s="143" t="s">
        <v>342</v>
      </c>
    </row>
    <row r="122" spans="1:1" x14ac:dyDescent="0.5">
      <c r="A122" s="143" t="s">
        <v>343</v>
      </c>
    </row>
    <row r="123" spans="1:1" x14ac:dyDescent="0.5">
      <c r="A123" s="143" t="s">
        <v>344</v>
      </c>
    </row>
    <row r="124" spans="1:1" x14ac:dyDescent="0.5">
      <c r="A124" s="143" t="s">
        <v>345</v>
      </c>
    </row>
    <row r="125" spans="1:1" x14ac:dyDescent="0.5">
      <c r="A125" s="143" t="s">
        <v>346</v>
      </c>
    </row>
    <row r="126" spans="1:1" x14ac:dyDescent="0.5">
      <c r="A126" s="143" t="s">
        <v>347</v>
      </c>
    </row>
    <row r="127" spans="1:1" x14ac:dyDescent="0.5">
      <c r="A127" s="143" t="s">
        <v>348</v>
      </c>
    </row>
    <row r="128" spans="1:1" x14ac:dyDescent="0.5">
      <c r="A128" s="143" t="s">
        <v>349</v>
      </c>
    </row>
    <row r="130" spans="1:4" x14ac:dyDescent="0.5">
      <c r="A130" s="1" t="s">
        <v>95</v>
      </c>
    </row>
    <row r="131" spans="1:4" x14ac:dyDescent="0.5">
      <c r="A131" s="66" t="s">
        <v>97</v>
      </c>
    </row>
    <row r="132" spans="1:4" x14ac:dyDescent="0.5">
      <c r="A132" s="58" t="s">
        <v>96</v>
      </c>
    </row>
    <row r="133" spans="1:4" x14ac:dyDescent="0.5">
      <c r="A133" s="66" t="s">
        <v>234</v>
      </c>
    </row>
    <row r="134" spans="1:4" x14ac:dyDescent="0.5">
      <c r="A134" s="58" t="s">
        <v>98</v>
      </c>
    </row>
    <row r="136" spans="1:4" s="16" customFormat="1" ht="25.8" x14ac:dyDescent="0.5">
      <c r="A136" s="111" t="s">
        <v>424</v>
      </c>
      <c r="B136" s="111" t="s">
        <v>307</v>
      </c>
      <c r="C136" s="111" t="s">
        <v>308</v>
      </c>
      <c r="D136" s="111" t="s">
        <v>309</v>
      </c>
    </row>
    <row r="137" spans="1:4" x14ac:dyDescent="0.5">
      <c r="A137" s="3">
        <v>1</v>
      </c>
      <c r="B137" s="66">
        <v>1</v>
      </c>
      <c r="C137" s="109">
        <v>2.25</v>
      </c>
      <c r="D137" s="3" t="str">
        <f t="shared" ref="D137:D146" si="0">TEXT(B137,"0") &amp; " to " &amp; TEXT(B139,"0")</f>
        <v>1 to 3</v>
      </c>
    </row>
    <row r="138" spans="1:4" x14ac:dyDescent="0.5">
      <c r="A138" s="3">
        <v>2</v>
      </c>
      <c r="B138" s="66">
        <v>2</v>
      </c>
      <c r="C138" s="109">
        <f>0.75*5</f>
        <v>3.75</v>
      </c>
      <c r="D138" s="3" t="str">
        <f t="shared" si="0"/>
        <v>2 to 5</v>
      </c>
    </row>
    <row r="139" spans="1:4" x14ac:dyDescent="0.5">
      <c r="A139" s="3">
        <v>3</v>
      </c>
      <c r="B139" s="66">
        <v>3</v>
      </c>
      <c r="C139" s="109">
        <v>7.5</v>
      </c>
      <c r="D139" s="3" t="str">
        <f t="shared" si="0"/>
        <v>3 to 10</v>
      </c>
    </row>
    <row r="140" spans="1:4" x14ac:dyDescent="0.5">
      <c r="A140" s="3">
        <v>4</v>
      </c>
      <c r="B140" s="66">
        <v>5</v>
      </c>
      <c r="C140" s="110">
        <v>15</v>
      </c>
      <c r="D140" s="3" t="str">
        <f t="shared" si="0"/>
        <v>5 to 20</v>
      </c>
    </row>
    <row r="141" spans="1:4" x14ac:dyDescent="0.5">
      <c r="A141" s="3">
        <v>5</v>
      </c>
      <c r="B141" s="66">
        <v>10</v>
      </c>
      <c r="C141" s="110">
        <f>C137*10</f>
        <v>22.5</v>
      </c>
      <c r="D141" s="3" t="str">
        <f t="shared" si="0"/>
        <v>10 to 30</v>
      </c>
    </row>
    <row r="142" spans="1:4" x14ac:dyDescent="0.5">
      <c r="A142" s="3">
        <v>6</v>
      </c>
      <c r="B142" s="110">
        <f>B138*10</f>
        <v>20</v>
      </c>
      <c r="C142" s="110">
        <f t="shared" ref="C142:C181" si="1">C138*10</f>
        <v>37.5</v>
      </c>
      <c r="D142" s="3" t="str">
        <f t="shared" si="0"/>
        <v>20 to 50</v>
      </c>
    </row>
    <row r="143" spans="1:4" x14ac:dyDescent="0.5">
      <c r="A143" s="3">
        <v>7</v>
      </c>
      <c r="B143" s="110">
        <f t="shared" ref="B143:B182" si="2">B139*10</f>
        <v>30</v>
      </c>
      <c r="C143" s="110">
        <f t="shared" si="1"/>
        <v>75</v>
      </c>
      <c r="D143" s="3" t="str">
        <f t="shared" si="0"/>
        <v>30 to 100</v>
      </c>
    </row>
    <row r="144" spans="1:4" x14ac:dyDescent="0.5">
      <c r="A144" s="3">
        <v>8</v>
      </c>
      <c r="B144" s="110">
        <f t="shared" si="2"/>
        <v>50</v>
      </c>
      <c r="C144" s="110">
        <f t="shared" si="1"/>
        <v>150</v>
      </c>
      <c r="D144" s="3" t="str">
        <f t="shared" si="0"/>
        <v>50 to 200</v>
      </c>
    </row>
    <row r="145" spans="1:4" x14ac:dyDescent="0.5">
      <c r="A145" s="3">
        <v>9</v>
      </c>
      <c r="B145" s="110">
        <f t="shared" si="2"/>
        <v>100</v>
      </c>
      <c r="C145" s="110">
        <f t="shared" si="1"/>
        <v>225</v>
      </c>
      <c r="D145" s="3" t="str">
        <f t="shared" si="0"/>
        <v>100 to 300</v>
      </c>
    </row>
    <row r="146" spans="1:4" x14ac:dyDescent="0.5">
      <c r="A146" s="3">
        <v>10</v>
      </c>
      <c r="B146" s="110">
        <f t="shared" si="2"/>
        <v>200</v>
      </c>
      <c r="C146" s="110">
        <f t="shared" si="1"/>
        <v>375</v>
      </c>
      <c r="D146" s="3" t="str">
        <f t="shared" si="0"/>
        <v>200 to 500</v>
      </c>
    </row>
    <row r="147" spans="1:4" x14ac:dyDescent="0.5">
      <c r="A147" s="3">
        <v>11</v>
      </c>
      <c r="B147" s="110">
        <f t="shared" si="2"/>
        <v>300</v>
      </c>
      <c r="C147" s="110">
        <f t="shared" si="1"/>
        <v>750</v>
      </c>
      <c r="D147" s="3" t="str">
        <f t="shared" ref="D147:D181" si="3">TEXT(B147,"#,000") &amp; " to " &amp; TEXT(B149,"#,000")</f>
        <v>300 to 1,000</v>
      </c>
    </row>
    <row r="148" spans="1:4" x14ac:dyDescent="0.5">
      <c r="A148" s="3">
        <v>12</v>
      </c>
      <c r="B148" s="110">
        <f t="shared" si="2"/>
        <v>500</v>
      </c>
      <c r="C148" s="110">
        <f t="shared" si="1"/>
        <v>1500</v>
      </c>
      <c r="D148" s="3" t="str">
        <f t="shared" si="3"/>
        <v>500 to 2,000</v>
      </c>
    </row>
    <row r="149" spans="1:4" x14ac:dyDescent="0.5">
      <c r="A149" s="3">
        <v>13</v>
      </c>
      <c r="B149" s="110">
        <f t="shared" si="2"/>
        <v>1000</v>
      </c>
      <c r="C149" s="110">
        <f t="shared" si="1"/>
        <v>2250</v>
      </c>
      <c r="D149" s="3" t="str">
        <f t="shared" si="3"/>
        <v>1,000 to 3,000</v>
      </c>
    </row>
    <row r="150" spans="1:4" x14ac:dyDescent="0.5">
      <c r="A150" s="3">
        <v>14</v>
      </c>
      <c r="B150" s="110">
        <f t="shared" si="2"/>
        <v>2000</v>
      </c>
      <c r="C150" s="110">
        <f t="shared" si="1"/>
        <v>3750</v>
      </c>
      <c r="D150" s="3" t="str">
        <f t="shared" si="3"/>
        <v>2,000 to 5,000</v>
      </c>
    </row>
    <row r="151" spans="1:4" x14ac:dyDescent="0.5">
      <c r="A151" s="3">
        <v>15</v>
      </c>
      <c r="B151" s="110">
        <f t="shared" si="2"/>
        <v>3000</v>
      </c>
      <c r="C151" s="110">
        <f t="shared" si="1"/>
        <v>7500</v>
      </c>
      <c r="D151" s="3" t="str">
        <f t="shared" si="3"/>
        <v>3,000 to 10,000</v>
      </c>
    </row>
    <row r="152" spans="1:4" x14ac:dyDescent="0.5">
      <c r="A152" s="3">
        <v>16</v>
      </c>
      <c r="B152" s="110">
        <f t="shared" si="2"/>
        <v>5000</v>
      </c>
      <c r="C152" s="110">
        <f t="shared" si="1"/>
        <v>15000</v>
      </c>
      <c r="D152" s="3" t="str">
        <f t="shared" si="3"/>
        <v>5,000 to 20,000</v>
      </c>
    </row>
    <row r="153" spans="1:4" x14ac:dyDescent="0.5">
      <c r="A153" s="3">
        <v>17</v>
      </c>
      <c r="B153" s="110">
        <f t="shared" si="2"/>
        <v>10000</v>
      </c>
      <c r="C153" s="110">
        <f t="shared" si="1"/>
        <v>22500</v>
      </c>
      <c r="D153" s="3" t="str">
        <f t="shared" si="3"/>
        <v>10,000 to 30,000</v>
      </c>
    </row>
    <row r="154" spans="1:4" x14ac:dyDescent="0.5">
      <c r="A154" s="3">
        <v>18</v>
      </c>
      <c r="B154" s="110">
        <f t="shared" si="2"/>
        <v>20000</v>
      </c>
      <c r="C154" s="110">
        <f t="shared" si="1"/>
        <v>37500</v>
      </c>
      <c r="D154" s="3" t="str">
        <f t="shared" si="3"/>
        <v>20,000 to 50,000</v>
      </c>
    </row>
    <row r="155" spans="1:4" x14ac:dyDescent="0.5">
      <c r="A155" s="3">
        <v>19</v>
      </c>
      <c r="B155" s="110">
        <f>B151*10</f>
        <v>30000</v>
      </c>
      <c r="C155" s="110">
        <f t="shared" si="1"/>
        <v>75000</v>
      </c>
      <c r="D155" s="3" t="str">
        <f t="shared" si="3"/>
        <v>30,000 to 100,000</v>
      </c>
    </row>
    <row r="156" spans="1:4" x14ac:dyDescent="0.5">
      <c r="A156" s="3">
        <v>20</v>
      </c>
      <c r="B156" s="110">
        <f t="shared" si="2"/>
        <v>50000</v>
      </c>
      <c r="C156" s="110">
        <f t="shared" si="1"/>
        <v>150000</v>
      </c>
      <c r="D156" s="3" t="str">
        <f t="shared" si="3"/>
        <v>50,000 to 200,000</v>
      </c>
    </row>
    <row r="157" spans="1:4" x14ac:dyDescent="0.5">
      <c r="A157" s="3">
        <v>21</v>
      </c>
      <c r="B157" s="110">
        <f t="shared" si="2"/>
        <v>100000</v>
      </c>
      <c r="C157" s="110">
        <f t="shared" si="1"/>
        <v>225000</v>
      </c>
      <c r="D157" s="3" t="str">
        <f t="shared" si="3"/>
        <v>100,000 to 300,000</v>
      </c>
    </row>
    <row r="158" spans="1:4" x14ac:dyDescent="0.5">
      <c r="A158" s="3">
        <v>22</v>
      </c>
      <c r="B158" s="110">
        <f t="shared" si="2"/>
        <v>200000</v>
      </c>
      <c r="C158" s="110">
        <f t="shared" si="1"/>
        <v>375000</v>
      </c>
      <c r="D158" s="3" t="str">
        <f t="shared" si="3"/>
        <v>200,000 to 500,000</v>
      </c>
    </row>
    <row r="159" spans="1:4" x14ac:dyDescent="0.5">
      <c r="A159" s="3">
        <v>23</v>
      </c>
      <c r="B159" s="110">
        <f t="shared" si="2"/>
        <v>300000</v>
      </c>
      <c r="C159" s="110">
        <f t="shared" si="1"/>
        <v>750000</v>
      </c>
      <c r="D159" s="3" t="str">
        <f t="shared" si="3"/>
        <v>300,000 to 1,000,000</v>
      </c>
    </row>
    <row r="160" spans="1:4" x14ac:dyDescent="0.5">
      <c r="A160" s="3">
        <v>24</v>
      </c>
      <c r="B160" s="110">
        <f t="shared" si="2"/>
        <v>500000</v>
      </c>
      <c r="C160" s="110">
        <f t="shared" si="1"/>
        <v>1500000</v>
      </c>
      <c r="D160" s="3" t="str">
        <f t="shared" si="3"/>
        <v>500,000 to 2,000,000</v>
      </c>
    </row>
    <row r="161" spans="1:4" x14ac:dyDescent="0.5">
      <c r="A161" s="3">
        <v>25</v>
      </c>
      <c r="B161" s="110">
        <f t="shared" si="2"/>
        <v>1000000</v>
      </c>
      <c r="C161" s="110">
        <f t="shared" si="1"/>
        <v>2250000</v>
      </c>
      <c r="D161" s="3" t="str">
        <f t="shared" si="3"/>
        <v>1,000,000 to 3,000,000</v>
      </c>
    </row>
    <row r="162" spans="1:4" x14ac:dyDescent="0.5">
      <c r="A162" s="3">
        <v>26</v>
      </c>
      <c r="B162" s="110">
        <f t="shared" si="2"/>
        <v>2000000</v>
      </c>
      <c r="C162" s="110">
        <f t="shared" si="1"/>
        <v>3750000</v>
      </c>
      <c r="D162" s="3" t="str">
        <f t="shared" si="3"/>
        <v>2,000,000 to 5,000,000</v>
      </c>
    </row>
    <row r="163" spans="1:4" x14ac:dyDescent="0.5">
      <c r="A163" s="3">
        <v>27</v>
      </c>
      <c r="B163" s="110">
        <f t="shared" si="2"/>
        <v>3000000</v>
      </c>
      <c r="C163" s="110">
        <f t="shared" si="1"/>
        <v>7500000</v>
      </c>
      <c r="D163" s="3" t="str">
        <f t="shared" si="3"/>
        <v>3,000,000 to 10,000,000</v>
      </c>
    </row>
    <row r="164" spans="1:4" x14ac:dyDescent="0.5">
      <c r="A164" s="3">
        <v>28</v>
      </c>
      <c r="B164" s="110">
        <f t="shared" si="2"/>
        <v>5000000</v>
      </c>
      <c r="C164" s="110">
        <f t="shared" si="1"/>
        <v>15000000</v>
      </c>
      <c r="D164" s="3" t="str">
        <f t="shared" si="3"/>
        <v>5,000,000 to 20,000,000</v>
      </c>
    </row>
    <row r="165" spans="1:4" x14ac:dyDescent="0.5">
      <c r="A165" s="3">
        <v>29</v>
      </c>
      <c r="B165" s="110">
        <f t="shared" si="2"/>
        <v>10000000</v>
      </c>
      <c r="C165" s="110">
        <f t="shared" si="1"/>
        <v>22500000</v>
      </c>
      <c r="D165" s="3" t="str">
        <f t="shared" si="3"/>
        <v>10,000,000 to 30,000,000</v>
      </c>
    </row>
    <row r="166" spans="1:4" x14ac:dyDescent="0.5">
      <c r="A166" s="3">
        <v>30</v>
      </c>
      <c r="B166" s="110">
        <f t="shared" si="2"/>
        <v>20000000</v>
      </c>
      <c r="C166" s="110">
        <f t="shared" si="1"/>
        <v>37500000</v>
      </c>
      <c r="D166" s="3" t="str">
        <f t="shared" si="3"/>
        <v>20,000,000 to 50,000,000</v>
      </c>
    </row>
    <row r="167" spans="1:4" x14ac:dyDescent="0.5">
      <c r="A167" s="3">
        <v>31</v>
      </c>
      <c r="B167" s="110">
        <f>B163*10</f>
        <v>30000000</v>
      </c>
      <c r="C167" s="110">
        <f t="shared" si="1"/>
        <v>75000000</v>
      </c>
      <c r="D167" s="3" t="str">
        <f t="shared" si="3"/>
        <v>30,000,000 to 100,000,000</v>
      </c>
    </row>
    <row r="168" spans="1:4" x14ac:dyDescent="0.5">
      <c r="A168" s="3">
        <v>32</v>
      </c>
      <c r="B168" s="110">
        <f t="shared" si="2"/>
        <v>50000000</v>
      </c>
      <c r="C168" s="110">
        <f t="shared" si="1"/>
        <v>150000000</v>
      </c>
      <c r="D168" s="3" t="str">
        <f t="shared" si="3"/>
        <v>50,000,000 to 200,000,000</v>
      </c>
    </row>
    <row r="169" spans="1:4" x14ac:dyDescent="0.5">
      <c r="A169" s="3">
        <v>33</v>
      </c>
      <c r="B169" s="110">
        <f t="shared" si="2"/>
        <v>100000000</v>
      </c>
      <c r="C169" s="110">
        <f t="shared" si="1"/>
        <v>225000000</v>
      </c>
      <c r="D169" s="3" t="str">
        <f t="shared" si="3"/>
        <v>100,000,000 to 300,000,000</v>
      </c>
    </row>
    <row r="170" spans="1:4" x14ac:dyDescent="0.5">
      <c r="A170" s="3">
        <v>34</v>
      </c>
      <c r="B170" s="110">
        <f t="shared" si="2"/>
        <v>200000000</v>
      </c>
      <c r="C170" s="110">
        <f t="shared" si="1"/>
        <v>375000000</v>
      </c>
      <c r="D170" s="3" t="str">
        <f t="shared" si="3"/>
        <v>200,000,000 to 500,000,000</v>
      </c>
    </row>
    <row r="171" spans="1:4" x14ac:dyDescent="0.5">
      <c r="A171" s="3">
        <v>35</v>
      </c>
      <c r="B171" s="110">
        <f t="shared" si="2"/>
        <v>300000000</v>
      </c>
      <c r="C171" s="110">
        <f t="shared" si="1"/>
        <v>750000000</v>
      </c>
      <c r="D171" s="3" t="str">
        <f t="shared" si="3"/>
        <v>300,000,000 to 1,000,000,000</v>
      </c>
    </row>
    <row r="172" spans="1:4" x14ac:dyDescent="0.5">
      <c r="A172" s="3">
        <v>36</v>
      </c>
      <c r="B172" s="110">
        <f t="shared" si="2"/>
        <v>500000000</v>
      </c>
      <c r="C172" s="110">
        <f t="shared" si="1"/>
        <v>1500000000</v>
      </c>
      <c r="D172" s="3" t="str">
        <f t="shared" si="3"/>
        <v>500,000,000 to 2,000,000,000</v>
      </c>
    </row>
    <row r="173" spans="1:4" x14ac:dyDescent="0.5">
      <c r="A173" s="3">
        <v>37</v>
      </c>
      <c r="B173" s="110">
        <f t="shared" si="2"/>
        <v>1000000000</v>
      </c>
      <c r="C173" s="110">
        <f t="shared" si="1"/>
        <v>2250000000</v>
      </c>
      <c r="D173" s="3" t="str">
        <f t="shared" si="3"/>
        <v>1,000,000,000 to 3,000,000,000</v>
      </c>
    </row>
    <row r="174" spans="1:4" x14ac:dyDescent="0.5">
      <c r="A174" s="3">
        <v>38</v>
      </c>
      <c r="B174" s="110">
        <f t="shared" si="2"/>
        <v>2000000000</v>
      </c>
      <c r="C174" s="110">
        <f t="shared" si="1"/>
        <v>3750000000</v>
      </c>
      <c r="D174" s="3" t="str">
        <f t="shared" si="3"/>
        <v>2,000,000,000 to 5,000,000,000</v>
      </c>
    </row>
    <row r="175" spans="1:4" x14ac:dyDescent="0.5">
      <c r="A175" s="3">
        <v>39</v>
      </c>
      <c r="B175" s="110">
        <f t="shared" si="2"/>
        <v>3000000000</v>
      </c>
      <c r="C175" s="110">
        <f t="shared" si="1"/>
        <v>7500000000</v>
      </c>
      <c r="D175" s="3" t="str">
        <f t="shared" si="3"/>
        <v>3,000,000,000 to 10,000,000,000</v>
      </c>
    </row>
    <row r="176" spans="1:4" x14ac:dyDescent="0.5">
      <c r="A176" s="3">
        <v>40</v>
      </c>
      <c r="B176" s="110">
        <f t="shared" si="2"/>
        <v>5000000000</v>
      </c>
      <c r="C176" s="110">
        <f t="shared" si="1"/>
        <v>15000000000</v>
      </c>
      <c r="D176" s="3" t="str">
        <f t="shared" si="3"/>
        <v>5,000,000,000 to 20,000,000,000</v>
      </c>
    </row>
    <row r="177" spans="1:4" x14ac:dyDescent="0.5">
      <c r="A177" s="3">
        <v>41</v>
      </c>
      <c r="B177" s="110">
        <f>B173*10</f>
        <v>10000000000</v>
      </c>
      <c r="C177" s="110">
        <f t="shared" si="1"/>
        <v>22500000000</v>
      </c>
      <c r="D177" s="3" t="str">
        <f t="shared" si="3"/>
        <v>10,000,000,000 to 30,000,000,000</v>
      </c>
    </row>
    <row r="178" spans="1:4" x14ac:dyDescent="0.5">
      <c r="A178" s="3">
        <v>42</v>
      </c>
      <c r="B178" s="110">
        <f t="shared" si="2"/>
        <v>20000000000</v>
      </c>
      <c r="C178" s="110">
        <f t="shared" si="1"/>
        <v>37500000000</v>
      </c>
      <c r="D178" s="3" t="str">
        <f t="shared" si="3"/>
        <v>20,000,000,000 to 50,000,000,000</v>
      </c>
    </row>
    <row r="179" spans="1:4" x14ac:dyDescent="0.5">
      <c r="A179" s="3">
        <v>43</v>
      </c>
      <c r="B179" s="110">
        <f>B175*10</f>
        <v>30000000000</v>
      </c>
      <c r="C179" s="110">
        <f t="shared" si="1"/>
        <v>75000000000</v>
      </c>
      <c r="D179" s="3" t="str">
        <f t="shared" si="3"/>
        <v>30,000,000,000 to 100,000,000,000</v>
      </c>
    </row>
    <row r="180" spans="1:4" x14ac:dyDescent="0.5">
      <c r="A180" s="3">
        <v>44</v>
      </c>
      <c r="B180" s="110">
        <f t="shared" si="2"/>
        <v>50000000000</v>
      </c>
      <c r="C180" s="110">
        <f t="shared" si="1"/>
        <v>150000000000</v>
      </c>
      <c r="D180" s="3" t="str">
        <f t="shared" si="3"/>
        <v>50,000,000,000 to 200,000,000,000</v>
      </c>
    </row>
    <row r="181" spans="1:4" x14ac:dyDescent="0.5">
      <c r="A181" s="3">
        <v>45</v>
      </c>
      <c r="B181" s="110">
        <f>B177*10</f>
        <v>100000000000</v>
      </c>
      <c r="C181" s="110">
        <f t="shared" si="1"/>
        <v>225000000000</v>
      </c>
      <c r="D181" s="3" t="str">
        <f t="shared" si="3"/>
        <v>100,000,000,000 to 300,000,000,000</v>
      </c>
    </row>
    <row r="182" spans="1:4" x14ac:dyDescent="0.5">
      <c r="A182" s="3">
        <v>46</v>
      </c>
      <c r="B182" s="110">
        <f t="shared" si="2"/>
        <v>200000000000</v>
      </c>
      <c r="C182" s="110"/>
    </row>
    <row r="183" spans="1:4" x14ac:dyDescent="0.5">
      <c r="A183" s="3">
        <v>47</v>
      </c>
      <c r="B183" s="110">
        <f>B179*10</f>
        <v>300000000000</v>
      </c>
      <c r="C183" s="110"/>
    </row>
  </sheetData>
  <phoneticPr fontId="2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1198A-8DCE-4E6C-916B-6E2C0E18B7A1}">
  <sheetPr codeName="Sheet8">
    <tabColor theme="0" tint="-0.249977111117893"/>
  </sheetPr>
  <dimension ref="B3:C46"/>
  <sheetViews>
    <sheetView workbookViewId="0">
      <selection activeCell="C27" sqref="C27"/>
    </sheetView>
  </sheetViews>
  <sheetFormatPr defaultColWidth="8.734375" defaultRowHeight="12.9" x14ac:dyDescent="0.5"/>
  <cols>
    <col min="1" max="1" width="3.89453125" style="3" customWidth="1"/>
    <col min="2" max="2" width="5.1015625" style="3" customWidth="1"/>
    <col min="3" max="3" width="85.7890625" style="3" customWidth="1"/>
    <col min="4" max="16384" width="8.734375" style="3"/>
  </cols>
  <sheetData>
    <row r="3" spans="2:3" x14ac:dyDescent="0.5">
      <c r="B3" s="11" t="s">
        <v>540</v>
      </c>
    </row>
    <row r="4" spans="2:3" x14ac:dyDescent="0.5">
      <c r="C4" s="3" t="s">
        <v>541</v>
      </c>
    </row>
    <row r="5" spans="2:3" x14ac:dyDescent="0.5">
      <c r="C5" s="3" t="s">
        <v>544</v>
      </c>
    </row>
    <row r="6" spans="2:3" x14ac:dyDescent="0.5">
      <c r="C6" s="3" t="s">
        <v>546</v>
      </c>
    </row>
    <row r="7" spans="2:3" x14ac:dyDescent="0.5">
      <c r="C7" s="3" t="s">
        <v>545</v>
      </c>
    </row>
    <row r="8" spans="2:3" x14ac:dyDescent="0.5">
      <c r="C8" s="3" t="s">
        <v>567</v>
      </c>
    </row>
    <row r="10" spans="2:3" x14ac:dyDescent="0.5">
      <c r="B10" s="11" t="s">
        <v>284</v>
      </c>
    </row>
    <row r="11" spans="2:3" x14ac:dyDescent="0.5">
      <c r="C11" s="3" t="s">
        <v>426</v>
      </c>
    </row>
    <row r="12" spans="2:3" x14ac:dyDescent="0.5">
      <c r="C12" s="3" t="s">
        <v>427</v>
      </c>
    </row>
    <row r="13" spans="2:3" x14ac:dyDescent="0.5">
      <c r="C13" s="3" t="s">
        <v>428</v>
      </c>
    </row>
    <row r="14" spans="2:3" x14ac:dyDescent="0.5">
      <c r="C14" s="3" t="s">
        <v>518</v>
      </c>
    </row>
    <row r="16" spans="2:3" x14ac:dyDescent="0.5">
      <c r="C16" s="3" t="s">
        <v>556</v>
      </c>
    </row>
    <row r="17" spans="2:3" x14ac:dyDescent="0.5">
      <c r="C17" s="3" t="s">
        <v>564</v>
      </c>
    </row>
    <row r="18" spans="2:3" x14ac:dyDescent="0.5">
      <c r="C18" s="3" t="s">
        <v>565</v>
      </c>
    </row>
    <row r="20" spans="2:3" x14ac:dyDescent="0.5">
      <c r="B20" s="11" t="s">
        <v>286</v>
      </c>
    </row>
    <row r="21" spans="2:3" x14ac:dyDescent="0.5">
      <c r="B21" s="11"/>
      <c r="C21" s="3" t="s">
        <v>568</v>
      </c>
    </row>
    <row r="22" spans="2:3" x14ac:dyDescent="0.5">
      <c r="B22" s="11"/>
    </row>
    <row r="23" spans="2:3" x14ac:dyDescent="0.5">
      <c r="B23" s="11"/>
    </row>
    <row r="24" spans="2:3" x14ac:dyDescent="0.5">
      <c r="B24" s="11" t="s">
        <v>288</v>
      </c>
    </row>
    <row r="25" spans="2:3" x14ac:dyDescent="0.5">
      <c r="B25" s="11"/>
    </row>
    <row r="26" spans="2:3" x14ac:dyDescent="0.5">
      <c r="B26" s="11"/>
    </row>
    <row r="27" spans="2:3" x14ac:dyDescent="0.5">
      <c r="B27" s="11" t="s">
        <v>289</v>
      </c>
    </row>
    <row r="28" spans="2:3" x14ac:dyDescent="0.5">
      <c r="B28" s="11"/>
    </row>
    <row r="29" spans="2:3" x14ac:dyDescent="0.5">
      <c r="B29" s="11"/>
    </row>
    <row r="30" spans="2:3" x14ac:dyDescent="0.5">
      <c r="B30" s="11" t="s">
        <v>290</v>
      </c>
    </row>
    <row r="31" spans="2:3" x14ac:dyDescent="0.5">
      <c r="B31" s="11"/>
      <c r="C31" s="3" t="s">
        <v>538</v>
      </c>
    </row>
    <row r="32" spans="2:3" x14ac:dyDescent="0.5">
      <c r="B32" s="11"/>
      <c r="C32" s="3" t="s">
        <v>587</v>
      </c>
    </row>
    <row r="33" spans="2:3" x14ac:dyDescent="0.5">
      <c r="B33" s="11"/>
    </row>
    <row r="34" spans="2:3" x14ac:dyDescent="0.5">
      <c r="B34" s="11" t="s">
        <v>310</v>
      </c>
    </row>
    <row r="35" spans="2:3" x14ac:dyDescent="0.5">
      <c r="B35" s="11"/>
      <c r="C35" s="3" t="s">
        <v>573</v>
      </c>
    </row>
    <row r="36" spans="2:3" x14ac:dyDescent="0.5">
      <c r="B36" s="11"/>
      <c r="C36" s="3" t="s">
        <v>574</v>
      </c>
    </row>
    <row r="37" spans="2:3" x14ac:dyDescent="0.5">
      <c r="B37" s="11"/>
    </row>
    <row r="38" spans="2:3" x14ac:dyDescent="0.5">
      <c r="B38" s="11" t="s">
        <v>291</v>
      </c>
    </row>
    <row r="39" spans="2:3" x14ac:dyDescent="0.5">
      <c r="B39" s="11"/>
      <c r="C39" s="3" t="s">
        <v>537</v>
      </c>
    </row>
    <row r="40" spans="2:3" x14ac:dyDescent="0.5">
      <c r="B40" s="11"/>
    </row>
    <row r="41" spans="2:3" x14ac:dyDescent="0.5">
      <c r="B41" s="11" t="s">
        <v>292</v>
      </c>
    </row>
    <row r="42" spans="2:3" x14ac:dyDescent="0.5">
      <c r="B42" s="11"/>
      <c r="C42" s="3" t="s">
        <v>562</v>
      </c>
    </row>
    <row r="43" spans="2:3" x14ac:dyDescent="0.5">
      <c r="C43" s="3" t="s">
        <v>563</v>
      </c>
    </row>
    <row r="46" spans="2:3" x14ac:dyDescent="0.5">
      <c r="C46" s="3" t="s">
        <v>569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592C7-A036-46FE-8822-8F5A220B2945}">
  <sheetPr codeName="Sheet1">
    <tabColor theme="2" tint="0.39997558519241921"/>
  </sheetPr>
  <dimension ref="A1:XFD136"/>
  <sheetViews>
    <sheetView zoomScale="98" zoomScaleNormal="98" workbookViewId="0">
      <selection activeCell="C5" sqref="C5"/>
    </sheetView>
  </sheetViews>
  <sheetFormatPr defaultColWidth="8.734375" defaultRowHeight="12.9" x14ac:dyDescent="0.5"/>
  <cols>
    <col min="1" max="1" width="49.5234375" style="3" customWidth="1"/>
    <col min="2" max="2" width="11.3671875" style="90" customWidth="1"/>
    <col min="3" max="5" width="27.26171875" style="69" customWidth="1"/>
    <col min="6" max="6" width="27.26171875" style="3" customWidth="1"/>
    <col min="7" max="67" width="8.734375" style="3"/>
    <col min="68" max="72" width="12.62890625" style="3" customWidth="1"/>
    <col min="73" max="74" width="18.3671875" style="3" customWidth="1"/>
    <col min="75" max="75" width="8.734375" style="3"/>
    <col min="76" max="79" width="18.1015625" style="3" customWidth="1"/>
    <col min="80" max="16384" width="8.734375" style="3"/>
  </cols>
  <sheetData>
    <row r="1" spans="1:5" ht="89.05" customHeight="1" x14ac:dyDescent="0.5">
      <c r="A1" s="251" t="s">
        <v>539</v>
      </c>
      <c r="B1" s="251"/>
      <c r="C1" s="251"/>
      <c r="D1" s="251"/>
    </row>
    <row r="3" spans="1:5" x14ac:dyDescent="0.5">
      <c r="A3" s="93" t="s">
        <v>220</v>
      </c>
      <c r="B3" s="94"/>
      <c r="C3" s="95" t="s">
        <v>256</v>
      </c>
      <c r="D3" s="95" t="s">
        <v>299</v>
      </c>
      <c r="E3" s="95" t="s">
        <v>298</v>
      </c>
    </row>
    <row r="5" spans="1:5" ht="30.55" customHeight="1" x14ac:dyDescent="0.5">
      <c r="A5" s="73" t="s">
        <v>218</v>
      </c>
      <c r="B5" s="90">
        <f>MATCH(A5,'Training programme data table'!$4:$4,0)</f>
        <v>2</v>
      </c>
      <c r="C5" s="241" t="s">
        <v>588</v>
      </c>
      <c r="D5" s="127"/>
      <c r="E5" s="234" t="str">
        <f t="shared" ref="E5:E6" si="0">IF(ISBLANK(D5),C5,D5)</f>
        <v>Microcredential - Farm production fundamentals - L3</v>
      </c>
    </row>
    <row r="6" spans="1:5" x14ac:dyDescent="0.5">
      <c r="A6" s="3" t="s">
        <v>318</v>
      </c>
      <c r="B6" s="90">
        <f>MATCH(A6,'Training programme data table'!$4:$4,0)</f>
        <v>3</v>
      </c>
      <c r="C6" s="98" t="str" cm="1">
        <f t="array" ref="C6">INDEX(training_programme_data_table,MATCH($C$5,training_programme_list,0),B6)</f>
        <v>Food and fibre training group</v>
      </c>
      <c r="D6" s="127"/>
      <c r="E6" s="69" t="str">
        <f t="shared" si="0"/>
        <v>Food and fibre training group</v>
      </c>
    </row>
    <row r="8" spans="1:5" x14ac:dyDescent="0.5">
      <c r="A8" s="30" t="s">
        <v>231</v>
      </c>
    </row>
    <row r="9" spans="1:5" x14ac:dyDescent="0.5">
      <c r="A9" s="3" t="s">
        <v>316</v>
      </c>
      <c r="B9" s="90">
        <f>MATCH(A9,'Training programme data table'!$4:$4,0)</f>
        <v>4</v>
      </c>
      <c r="C9" s="98" cm="1">
        <f t="array" ref="C9">INDEX(training_programme_data_table,MATCH($C$5,training_programme_list,0),B9)</f>
        <v>30</v>
      </c>
      <c r="D9" s="96"/>
      <c r="E9" s="69">
        <f>IF(ISBLANK(D9),C9,D9)</f>
        <v>30</v>
      </c>
    </row>
    <row r="10" spans="1:5" x14ac:dyDescent="0.5">
      <c r="A10" s="3" t="s">
        <v>221</v>
      </c>
      <c r="B10" s="90">
        <f>MATCH(A10,'Training programme data table'!$4:$4,0)</f>
        <v>5</v>
      </c>
      <c r="C10" s="98" cm="1">
        <f t="array" ref="C10">INDEX(training_programme_data_table,MATCH($C$5,training_programme_list,0),B10)</f>
        <v>300</v>
      </c>
      <c r="D10" s="96"/>
      <c r="E10" s="69">
        <f>IF(ISBLANK(D10),C10,D10)</f>
        <v>300</v>
      </c>
    </row>
    <row r="11" spans="1:5" x14ac:dyDescent="0.5">
      <c r="A11" s="3" t="s">
        <v>319</v>
      </c>
      <c r="B11" s="90">
        <f>MATCH(A11,'Training programme data table'!$4:$4,0)</f>
        <v>6</v>
      </c>
      <c r="C11" s="98" t="str" cm="1">
        <f t="array" ref="C11">INDEX(training_programme_data_table,MATCH($C$5,training_programme_list,0),B11)</f>
        <v>Micro-credential</v>
      </c>
      <c r="D11" s="97"/>
      <c r="E11" s="69" t="str">
        <f t="shared" ref="E11:E13" si="1">IF(ISBLANK(D11),C11,D11)</f>
        <v>Micro-credential</v>
      </c>
    </row>
    <row r="12" spans="1:5" x14ac:dyDescent="0.5">
      <c r="A12" s="3" t="s">
        <v>79</v>
      </c>
      <c r="B12" s="90">
        <f>MATCH(A12,'Training programme data table'!$4:$4,0)</f>
        <v>7</v>
      </c>
      <c r="C12" s="98" t="str" cm="1">
        <f t="array" ref="C12">INDEX(training_programme_data_table,MATCH($C$5,training_programme_list,0),B12)</f>
        <v>L3</v>
      </c>
      <c r="D12" s="96"/>
      <c r="E12" s="69" t="str">
        <f t="shared" si="1"/>
        <v>L3</v>
      </c>
    </row>
    <row r="13" spans="1:5" x14ac:dyDescent="0.5">
      <c r="A13" s="3" t="s">
        <v>225</v>
      </c>
      <c r="B13" s="90">
        <f>MATCH(A13,'Training programme data table'!$4:$4,0)</f>
        <v>8</v>
      </c>
      <c r="C13" s="98" t="str" cm="1">
        <f t="array" ref="C13">INDEX(training_programme_data_table,MATCH($C$5,training_programme_list,0),B13)</f>
        <v>Agricultural Science</v>
      </c>
      <c r="D13" s="96"/>
      <c r="E13" s="69" t="str">
        <f t="shared" si="1"/>
        <v>Agricultural Science</v>
      </c>
    </row>
    <row r="14" spans="1:5" x14ac:dyDescent="0.5">
      <c r="A14" s="3" t="s">
        <v>197</v>
      </c>
      <c r="C14" s="98" t="str">
        <f>_xlfn.XLOOKUP(E13,NZSCED_label,NZSCED_code)</f>
        <v>050101</v>
      </c>
    </row>
    <row r="17" spans="1:5" x14ac:dyDescent="0.5">
      <c r="A17" s="1" t="s">
        <v>255</v>
      </c>
      <c r="B17" s="88"/>
      <c r="C17" s="68"/>
      <c r="D17" s="68"/>
    </row>
    <row r="19" spans="1:5" x14ac:dyDescent="0.5">
      <c r="A19" s="30" t="s">
        <v>232</v>
      </c>
      <c r="B19" s="89"/>
      <c r="C19" s="74" t="s">
        <v>238</v>
      </c>
    </row>
    <row r="20" spans="1:5" x14ac:dyDescent="0.5">
      <c r="A20" s="3" t="str" cm="1">
        <f t="array" ref="A20:A24">delivery_modes</f>
        <v>'Classroom' learning</v>
      </c>
      <c r="B20" s="90">
        <f>MATCH(A20,'Training programme data table'!$4:$4,0)</f>
        <v>9</v>
      </c>
      <c r="C20" s="135" cm="1">
        <f t="array" ref="C20">INDEX(training_programme_data_table,MATCH($C$5,training_programme_list,0),B20)</f>
        <v>0.2</v>
      </c>
      <c r="D20" s="128"/>
      <c r="E20" s="126">
        <f>IF(SUM($D$20:$D$24)=0,C20,D20)</f>
        <v>0.2</v>
      </c>
    </row>
    <row r="21" spans="1:5" x14ac:dyDescent="0.5">
      <c r="A21" s="3" t="str">
        <v>Work-based learning</v>
      </c>
      <c r="B21" s="90">
        <f>MATCH(A21,'Training programme data table'!$4:$4,0)</f>
        <v>10</v>
      </c>
      <c r="C21" s="135" cm="1">
        <f t="array" ref="C21">INDEX(training_programme_data_table,MATCH($C$5,training_programme_list,0),B21)</f>
        <v>0.8</v>
      </c>
      <c r="D21" s="237"/>
      <c r="E21" s="126">
        <f t="shared" ref="E21:E24" si="2">IF(SUM($D$20:$D$24)=0,C21,D21)</f>
        <v>0.8</v>
      </c>
    </row>
    <row r="22" spans="1:5" x14ac:dyDescent="0.5">
      <c r="A22" s="3" t="str">
        <v>One-to-one coaching</v>
      </c>
      <c r="B22" s="90">
        <f>MATCH(A22,'Training programme data table'!$4:$4,0)</f>
        <v>11</v>
      </c>
      <c r="C22" s="135" cm="1">
        <f t="array" ref="C22">INDEX(training_programme_data_table,MATCH($C$5,training_programme_list,0),B22)</f>
        <v>0</v>
      </c>
      <c r="D22" s="128"/>
      <c r="E22" s="126">
        <f t="shared" si="2"/>
        <v>0</v>
      </c>
    </row>
    <row r="23" spans="1:5" x14ac:dyDescent="0.5">
      <c r="A23" s="3" t="str">
        <v>Online (synchronous)</v>
      </c>
      <c r="B23" s="90">
        <f>MATCH(A23,'Training programme data table'!$4:$4,0)</f>
        <v>12</v>
      </c>
      <c r="C23" s="135" cm="1">
        <f t="array" ref="C23">INDEX(training_programme_data_table,MATCH($C$5,training_programme_list,0),B23)</f>
        <v>0</v>
      </c>
      <c r="D23" s="129"/>
      <c r="E23" s="126">
        <f t="shared" si="2"/>
        <v>0</v>
      </c>
    </row>
    <row r="24" spans="1:5" x14ac:dyDescent="0.5">
      <c r="A24" s="3" t="str">
        <v>Self-directed learning</v>
      </c>
      <c r="B24" s="90">
        <f>MATCH(A24,'Training programme data table'!$4:$4,0)</f>
        <v>13</v>
      </c>
      <c r="C24" s="135" cm="1">
        <f t="array" ref="C24">INDEX(training_programme_data_table,MATCH($C$5,training_programme_list,0),B24)</f>
        <v>0</v>
      </c>
      <c r="D24" s="236"/>
      <c r="E24" s="126">
        <f t="shared" si="2"/>
        <v>0</v>
      </c>
    </row>
    <row r="25" spans="1:5" x14ac:dyDescent="0.5">
      <c r="C25" s="136">
        <f>SUM(C20:C24)</f>
        <v>1</v>
      </c>
      <c r="D25" s="136">
        <f>SUM(D20:D24)</f>
        <v>0</v>
      </c>
      <c r="E25" s="242">
        <f>SUM(E20:E24)</f>
        <v>1</v>
      </c>
    </row>
    <row r="27" spans="1:5" x14ac:dyDescent="0.5">
      <c r="A27" s="30" t="s">
        <v>236</v>
      </c>
      <c r="B27" s="89"/>
      <c r="C27" s="74" t="s">
        <v>237</v>
      </c>
      <c r="D27" s="74"/>
    </row>
    <row r="28" spans="1:5" x14ac:dyDescent="0.5">
      <c r="A28" s="3" t="str" cm="1">
        <f t="array" ref="A28:A31">completion_proportions</f>
        <v>Fully complete</v>
      </c>
      <c r="B28" s="90">
        <f>MATCH(A28,'Training programme data table'!$4:$4,0)</f>
        <v>14</v>
      </c>
      <c r="C28" s="135" cm="1">
        <f t="array" ref="C28">INDEX(training_programme_data_table,MATCH($C$5,training_programme_list,0),B28)</f>
        <v>0.7</v>
      </c>
      <c r="D28" s="128"/>
      <c r="E28" s="126">
        <f>IF(SUM($D$28:$D$31)=0,C28,D28)</f>
        <v>0.7</v>
      </c>
    </row>
    <row r="29" spans="1:5" x14ac:dyDescent="0.5">
      <c r="A29" s="3" t="str">
        <v>50-99% complete</v>
      </c>
      <c r="B29" s="90">
        <f>MATCH(A29,'Training programme data table'!$4:$4,0)</f>
        <v>15</v>
      </c>
      <c r="C29" s="135" cm="1">
        <f t="array" ref="C29">INDEX(training_programme_data_table,MATCH($C$5,training_programme_list,0),B29)</f>
        <v>0.05</v>
      </c>
      <c r="D29" s="129"/>
      <c r="E29" s="126">
        <f t="shared" ref="E29:E31" si="3">IF(SUM($D$28:$D$31)=0,C29,D29)</f>
        <v>0.05</v>
      </c>
    </row>
    <row r="30" spans="1:5" x14ac:dyDescent="0.5">
      <c r="A30" s="3" t="str">
        <v>20-49% complete</v>
      </c>
      <c r="B30" s="90">
        <f>MATCH(A30,'Training programme data table'!$4:$4,0)</f>
        <v>16</v>
      </c>
      <c r="C30" s="135" cm="1">
        <f t="array" ref="C30">INDEX(training_programme_data_table,MATCH($C$5,training_programme_list,0),B30)</f>
        <v>0.1</v>
      </c>
      <c r="D30" s="128"/>
      <c r="E30" s="126">
        <f t="shared" si="3"/>
        <v>0.1</v>
      </c>
    </row>
    <row r="31" spans="1:5" x14ac:dyDescent="0.5">
      <c r="A31" s="3" t="str">
        <v>less than 20%</v>
      </c>
      <c r="B31" s="90">
        <f>MATCH(A31,'Training programme data table'!$4:$4,0)</f>
        <v>17</v>
      </c>
      <c r="C31" s="135" cm="1">
        <f t="array" ref="C31">INDEX(training_programme_data_table,MATCH($C$5,training_programme_list,0),B31)</f>
        <v>0.15</v>
      </c>
      <c r="D31" s="129"/>
      <c r="E31" s="126">
        <f t="shared" si="3"/>
        <v>0.15</v>
      </c>
    </row>
    <row r="32" spans="1:5" x14ac:dyDescent="0.5">
      <c r="C32" s="136">
        <f>SUM(C28:C31)</f>
        <v>1</v>
      </c>
      <c r="D32" s="130">
        <f>SUM(D28:D31)</f>
        <v>0</v>
      </c>
      <c r="E32" s="242">
        <f>SUM(E28:E31)</f>
        <v>1</v>
      </c>
    </row>
    <row r="33" spans="1:5" x14ac:dyDescent="0.5">
      <c r="C33" s="137"/>
      <c r="D33" s="131"/>
    </row>
    <row r="34" spans="1:5" x14ac:dyDescent="0.5">
      <c r="A34" s="30" t="s">
        <v>95</v>
      </c>
      <c r="B34" s="89"/>
      <c r="C34" s="74" t="s">
        <v>254</v>
      </c>
      <c r="D34" s="74"/>
    </row>
    <row r="35" spans="1:5" x14ac:dyDescent="0.5">
      <c r="A35" s="3" t="str" cm="1">
        <f t="array" ref="A35:A38">delivery_quality</f>
        <v>Excellent</v>
      </c>
      <c r="B35" s="90">
        <f>MATCH(A35,'Training programme data table'!$4:$4,0)</f>
        <v>18</v>
      </c>
      <c r="C35" s="135" cm="1">
        <f t="array" ref="C35">INDEX(training_programme_data_table,MATCH($C$5,training_programme_list,0),B35)</f>
        <v>0</v>
      </c>
      <c r="D35" s="128"/>
      <c r="E35" s="126">
        <f>IF(SUM($D$35:$D$38)=0,C35,D35)</f>
        <v>0</v>
      </c>
    </row>
    <row r="36" spans="1:5" x14ac:dyDescent="0.5">
      <c r="A36" s="3" t="str">
        <v>Good</v>
      </c>
      <c r="B36" s="90">
        <f>MATCH(A36,'Training programme data table'!$4:$4,0)</f>
        <v>19</v>
      </c>
      <c r="C36" s="135" cm="1">
        <f t="array" ref="C36">INDEX(training_programme_data_table,MATCH($C$5,training_programme_list,0),B36)</f>
        <v>0</v>
      </c>
      <c r="D36" s="129"/>
      <c r="E36" s="126">
        <f t="shared" ref="E36:E38" si="4">IF(SUM($D$35:$D$38)=0,C36,D36)</f>
        <v>0</v>
      </c>
    </row>
    <row r="37" spans="1:5" x14ac:dyDescent="0.5">
      <c r="A37" s="3" t="str">
        <v>Typical</v>
      </c>
      <c r="B37" s="90">
        <f>MATCH(A37,'Training programme data table'!$4:$4,0)</f>
        <v>20</v>
      </c>
      <c r="C37" s="135" cm="1">
        <f t="array" ref="C37">INDEX(training_programme_data_table,MATCH($C$5,training_programme_list,0),B37)</f>
        <v>1</v>
      </c>
      <c r="D37" s="128"/>
      <c r="E37" s="126">
        <f t="shared" si="4"/>
        <v>1</v>
      </c>
    </row>
    <row r="38" spans="1:5" x14ac:dyDescent="0.5">
      <c r="A38" s="3" t="str">
        <v>Not acceptable</v>
      </c>
      <c r="B38" s="90">
        <f>MATCH(A38,'Training programme data table'!$4:$4,0)</f>
        <v>21</v>
      </c>
      <c r="C38" s="135" cm="1">
        <f t="array" ref="C38">INDEX(training_programme_data_table,MATCH($C$5,training_programme_list,0),B38)</f>
        <v>0</v>
      </c>
      <c r="D38" s="129"/>
      <c r="E38" s="126">
        <f t="shared" si="4"/>
        <v>0</v>
      </c>
    </row>
    <row r="39" spans="1:5" x14ac:dyDescent="0.5">
      <c r="C39" s="136">
        <f>SUM(C35:C38)</f>
        <v>1</v>
      </c>
      <c r="D39" s="130">
        <f>SUM(D35:D38)</f>
        <v>0</v>
      </c>
      <c r="E39" s="242">
        <f>SUM(E35:E38)</f>
        <v>1</v>
      </c>
    </row>
    <row r="40" spans="1:5" x14ac:dyDescent="0.5">
      <c r="C40" s="137"/>
    </row>
    <row r="41" spans="1:5" x14ac:dyDescent="0.5">
      <c r="A41" s="30" t="s">
        <v>326</v>
      </c>
      <c r="B41" s="90">
        <f>MATCH(A41,'Training programme data table'!$4:$4,0)</f>
        <v>22</v>
      </c>
      <c r="C41" s="98" cm="1">
        <f t="array" ref="C41">INDEX(training_programme_data_table,MATCH($C$5,training_programme_list,0),B41)</f>
        <v>100</v>
      </c>
      <c r="D41" s="144"/>
      <c r="E41" s="69">
        <f>IF(ISBLANK(D41),C41,D41)</f>
        <v>100</v>
      </c>
    </row>
    <row r="43" spans="1:5" x14ac:dyDescent="0.5">
      <c r="A43" s="35" t="s">
        <v>226</v>
      </c>
      <c r="B43" s="91"/>
      <c r="C43" s="70"/>
      <c r="D43" s="70"/>
    </row>
    <row r="45" spans="1:5" x14ac:dyDescent="0.5">
      <c r="A45" s="30" t="s">
        <v>230</v>
      </c>
      <c r="B45" s="99"/>
      <c r="C45" s="132"/>
      <c r="D45" s="132"/>
    </row>
    <row r="46" spans="1:5" x14ac:dyDescent="0.5">
      <c r="A46" s="3" t="str" cm="1">
        <f t="array" ref="A46:A60">industries</f>
        <v>Apiculture</v>
      </c>
      <c r="B46" s="90">
        <f>MATCH(A46,'Training programme data table'!$4:$4,0)</f>
        <v>23</v>
      </c>
      <c r="C46" s="138" cm="1">
        <f t="array" ref="C46">INDEX(training_programme_data_table,MATCH($C$5,training_programme_list,0),B46)</f>
        <v>0</v>
      </c>
      <c r="D46" s="133"/>
      <c r="E46" s="126">
        <f>IF(SUM($D$46:$D$60)=0,C46,D46)</f>
        <v>0</v>
      </c>
    </row>
    <row r="47" spans="1:5" x14ac:dyDescent="0.5">
      <c r="A47" s="3" t="str">
        <v>Arable</v>
      </c>
      <c r="B47" s="90">
        <f>MATCH(A47,'Training programme data table'!$4:$4,0)</f>
        <v>24</v>
      </c>
      <c r="C47" s="138" cm="1">
        <f t="array" ref="C47">INDEX(training_programme_data_table,MATCH($C$5,training_programme_list,0),B47)</f>
        <v>0</v>
      </c>
      <c r="D47" s="133"/>
      <c r="E47" s="126">
        <f t="shared" ref="E47:E60" si="5">IF(SUM($D$46:$D$60)=0,C47,D47)</f>
        <v>0</v>
      </c>
    </row>
    <row r="48" spans="1:5" x14ac:dyDescent="0.5">
      <c r="A48" s="3" t="str">
        <v>Dairy farming</v>
      </c>
      <c r="B48" s="90">
        <f>MATCH(A48,'Training programme data table'!$4:$4,0)</f>
        <v>25</v>
      </c>
      <c r="C48" s="138" cm="1">
        <f t="array" ref="C48">INDEX(training_programme_data_table,MATCH($C$5,training_programme_list,0),B48)</f>
        <v>0.85</v>
      </c>
      <c r="D48" s="133"/>
      <c r="E48" s="126">
        <f t="shared" si="5"/>
        <v>0.85</v>
      </c>
    </row>
    <row r="49" spans="1:5" x14ac:dyDescent="0.5">
      <c r="A49" s="3" t="str">
        <v>Equine, dogs and racing</v>
      </c>
      <c r="B49" s="90">
        <f>MATCH(A49,'Training programme data table'!$4:$4,0)</f>
        <v>26</v>
      </c>
      <c r="C49" s="138" cm="1">
        <f t="array" ref="C49">INDEX(training_programme_data_table,MATCH($C$5,training_programme_list,0),B49)</f>
        <v>0</v>
      </c>
      <c r="D49" s="133"/>
      <c r="E49" s="126">
        <f t="shared" si="5"/>
        <v>0</v>
      </c>
    </row>
    <row r="50" spans="1:5" x14ac:dyDescent="0.5">
      <c r="A50" s="3" t="str">
        <v>Forestry</v>
      </c>
      <c r="B50" s="90">
        <f>MATCH(A50,'Training programme data table'!$4:$4,0)</f>
        <v>27</v>
      </c>
      <c r="C50" s="138" cm="1">
        <f t="array" ref="C50">INDEX(training_programme_data_table,MATCH($C$5,training_programme_list,0),B50)</f>
        <v>0</v>
      </c>
      <c r="D50" s="133"/>
      <c r="E50" s="126">
        <f t="shared" si="5"/>
        <v>0</v>
      </c>
    </row>
    <row r="51" spans="1:5" x14ac:dyDescent="0.5">
      <c r="A51" s="3" t="str">
        <v>Fruit</v>
      </c>
      <c r="B51" s="90">
        <f>MATCH(A51,'Training programme data table'!$4:$4,0)</f>
        <v>28</v>
      </c>
      <c r="C51" s="138" cm="1">
        <f t="array" ref="C51">INDEX(training_programme_data_table,MATCH($C$5,training_programme_list,0),B51)</f>
        <v>0</v>
      </c>
      <c r="D51" s="133"/>
      <c r="E51" s="126">
        <f t="shared" si="5"/>
        <v>0</v>
      </c>
    </row>
    <row r="52" spans="1:5" x14ac:dyDescent="0.5">
      <c r="A52" s="3" t="str">
        <v>Grapes and wine</v>
      </c>
      <c r="B52" s="90">
        <f>MATCH(A52,'Training programme data table'!$4:$4,0)</f>
        <v>29</v>
      </c>
      <c r="C52" s="138" cm="1">
        <f t="array" ref="C52">INDEX(training_programme_data_table,MATCH($C$5,training_programme_list,0),B52)</f>
        <v>0</v>
      </c>
      <c r="D52" s="133"/>
      <c r="E52" s="126">
        <f t="shared" si="5"/>
        <v>0</v>
      </c>
    </row>
    <row r="53" spans="1:5" x14ac:dyDescent="0.5">
      <c r="A53" s="3" t="str">
        <v>Nursery, turf and gardening</v>
      </c>
      <c r="B53" s="90">
        <f>MATCH(A53,'Training programme data table'!$4:$4,0)</f>
        <v>30</v>
      </c>
      <c r="C53" s="138" cm="1">
        <f t="array" ref="C53">INDEX(training_programme_data_table,MATCH($C$5,training_programme_list,0),B53)</f>
        <v>0</v>
      </c>
      <c r="D53" s="133"/>
      <c r="E53" s="126">
        <f t="shared" si="5"/>
        <v>0</v>
      </c>
    </row>
    <row r="54" spans="1:5" x14ac:dyDescent="0.5">
      <c r="A54" s="3" t="str">
        <v>Poultry, pigs &amp; other livestock</v>
      </c>
      <c r="B54" s="90">
        <f>MATCH(A54,'Training programme data table'!$4:$4,0)</f>
        <v>31</v>
      </c>
      <c r="C54" s="138" cm="1">
        <f t="array" ref="C54">INDEX(training_programme_data_table,MATCH($C$5,training_programme_list,0),B54)</f>
        <v>0</v>
      </c>
      <c r="D54" s="133"/>
      <c r="E54" s="126">
        <f t="shared" si="5"/>
        <v>0</v>
      </c>
    </row>
    <row r="55" spans="1:5" x14ac:dyDescent="0.5">
      <c r="A55" s="3" t="str">
        <v>Seafood - production</v>
      </c>
      <c r="B55" s="90">
        <f>MATCH(A55,'Training programme data table'!$4:$4,0)</f>
        <v>32</v>
      </c>
      <c r="C55" s="138" cm="1">
        <f t="array" ref="C55">INDEX(training_programme_data_table,MATCH($C$5,training_programme_list,0),B55)</f>
        <v>0</v>
      </c>
      <c r="D55" s="133"/>
      <c r="E55" s="126">
        <f t="shared" si="5"/>
        <v>0</v>
      </c>
    </row>
    <row r="56" spans="1:5" x14ac:dyDescent="0.5">
      <c r="A56" s="3" t="str">
        <v>Seafood - processing</v>
      </c>
      <c r="B56" s="90">
        <f>MATCH(A56,'Training programme data table'!$4:$4,0)</f>
        <v>33</v>
      </c>
      <c r="C56" s="138" cm="1">
        <f t="array" ref="C56">INDEX(training_programme_data_table,MATCH($C$5,training_programme_list,0),B56)</f>
        <v>0</v>
      </c>
      <c r="D56" s="133"/>
      <c r="E56" s="126">
        <f t="shared" si="5"/>
        <v>0</v>
      </c>
    </row>
    <row r="57" spans="1:5" x14ac:dyDescent="0.5">
      <c r="A57" s="3" t="str">
        <v>Sheep, beef and deer farming</v>
      </c>
      <c r="B57" s="90">
        <f>MATCH(A57,'Training programme data table'!$4:$4,0)</f>
        <v>34</v>
      </c>
      <c r="C57" s="138" cm="1">
        <f t="array" ref="C57">INDEX(training_programme_data_table,MATCH($C$5,training_programme_list,0),B57)</f>
        <v>0.15</v>
      </c>
      <c r="D57" s="133"/>
      <c r="E57" s="126">
        <f t="shared" si="5"/>
        <v>0.15</v>
      </c>
    </row>
    <row r="58" spans="1:5" x14ac:dyDescent="0.5">
      <c r="A58" s="3" t="str">
        <v>Support services</v>
      </c>
      <c r="B58" s="90">
        <f>MATCH(A58,'Training programme data table'!$4:$4,0)</f>
        <v>35</v>
      </c>
      <c r="C58" s="138" cm="1">
        <f t="array" ref="C58">INDEX(training_programme_data_table,MATCH($C$5,training_programme_list,0),B58)</f>
        <v>0</v>
      </c>
      <c r="D58" s="133"/>
      <c r="E58" s="126">
        <f t="shared" si="5"/>
        <v>0</v>
      </c>
    </row>
    <row r="59" spans="1:5" x14ac:dyDescent="0.5">
      <c r="A59" s="3" t="str">
        <v>Vegetables</v>
      </c>
      <c r="B59" s="90">
        <f>MATCH(A59,'Training programme data table'!$4:$4,0)</f>
        <v>36</v>
      </c>
      <c r="C59" s="138" cm="1">
        <f t="array" ref="C59">INDEX(training_programme_data_table,MATCH($C$5,training_programme_list,0),B59)</f>
        <v>0</v>
      </c>
      <c r="D59" s="133"/>
      <c r="E59" s="126">
        <f t="shared" si="5"/>
        <v>0</v>
      </c>
    </row>
    <row r="60" spans="1:5" x14ac:dyDescent="0.5">
      <c r="A60" s="3" t="str">
        <v>Veterinary</v>
      </c>
      <c r="B60" s="90">
        <f>MATCH(A60,'Training programme data table'!$4:$4,0)</f>
        <v>37</v>
      </c>
      <c r="C60" s="138" cm="1">
        <f t="array" ref="C60">INDEX(training_programme_data_table,MATCH($C$5,training_programme_list,0),B60)</f>
        <v>0</v>
      </c>
      <c r="D60" s="133"/>
      <c r="E60" s="126">
        <f t="shared" si="5"/>
        <v>0</v>
      </c>
    </row>
    <row r="61" spans="1:5" x14ac:dyDescent="0.5">
      <c r="C61" s="134">
        <f>SUM(C46:C60)</f>
        <v>1</v>
      </c>
      <c r="D61" s="134">
        <f>SUM(D46:D60)</f>
        <v>0</v>
      </c>
      <c r="E61" s="242">
        <f>SUM(E46:E60)</f>
        <v>1</v>
      </c>
    </row>
    <row r="63" spans="1:5" x14ac:dyDescent="0.5">
      <c r="A63" s="30" t="s">
        <v>227</v>
      </c>
      <c r="B63" s="99"/>
      <c r="C63" s="132"/>
      <c r="D63" s="132"/>
    </row>
    <row r="64" spans="1:5" x14ac:dyDescent="0.5">
      <c r="A64" s="3" t="str" cm="1">
        <f t="array" ref="A64:A67">roles</f>
        <v>Strategic manager</v>
      </c>
      <c r="B64" s="90">
        <f>MATCH(A64,'Training programme data table'!$4:$4,0)</f>
        <v>38</v>
      </c>
      <c r="C64" s="138" cm="1">
        <f t="array" ref="C64">INDEX(training_programme_data_table,MATCH($C$5,training_programme_list,0),B64)</f>
        <v>0</v>
      </c>
      <c r="D64" s="133"/>
      <c r="E64" s="126">
        <f>IF(SUM($D$64:$D$67)=0,C64,D64)</f>
        <v>0</v>
      </c>
    </row>
    <row r="65" spans="1:5" x14ac:dyDescent="0.5">
      <c r="A65" s="3" t="str">
        <v>Manager</v>
      </c>
      <c r="B65" s="90">
        <f>MATCH(A65,'Training programme data table'!$4:$4,0)</f>
        <v>39</v>
      </c>
      <c r="C65" s="138" cm="1">
        <f t="array" ref="C65">INDEX(training_programme_data_table,MATCH($C$5,training_programme_list,0),B65)</f>
        <v>0</v>
      </c>
      <c r="D65" s="133"/>
      <c r="E65" s="126">
        <f t="shared" ref="E65:E67" si="6">IF(SUM($D$64:$D$67)=0,C65,D65)</f>
        <v>0</v>
      </c>
    </row>
    <row r="66" spans="1:5" x14ac:dyDescent="0.5">
      <c r="A66" s="3" t="str">
        <v>Semi-autonomous</v>
      </c>
      <c r="B66" s="90">
        <f>MATCH(A66,'Training programme data table'!$4:$4,0)</f>
        <v>40</v>
      </c>
      <c r="C66" s="138" cm="1">
        <f t="array" ref="C66">INDEX(training_programme_data_table,MATCH($C$5,training_programme_list,0),B66)</f>
        <v>0</v>
      </c>
      <c r="D66" s="133"/>
      <c r="E66" s="126">
        <f t="shared" si="6"/>
        <v>0</v>
      </c>
    </row>
    <row r="67" spans="1:5" x14ac:dyDescent="0.5">
      <c r="A67" s="3" t="str">
        <v>Managed</v>
      </c>
      <c r="B67" s="90">
        <f>MATCH(A67,'Training programme data table'!$4:$4,0)</f>
        <v>41</v>
      </c>
      <c r="C67" s="138" cm="1">
        <f t="array" ref="C67">INDEX(training_programme_data_table,MATCH($C$5,training_programme_list,0),B67)</f>
        <v>1</v>
      </c>
      <c r="D67" s="133"/>
      <c r="E67" s="126">
        <f t="shared" si="6"/>
        <v>1</v>
      </c>
    </row>
    <row r="68" spans="1:5" x14ac:dyDescent="0.5">
      <c r="C68" s="134">
        <f>SUM(C64:C67)</f>
        <v>1</v>
      </c>
      <c r="D68" s="134">
        <f>SUM(D64:D67)</f>
        <v>0</v>
      </c>
      <c r="E68" s="242">
        <f>SUM(E64:E67)</f>
        <v>1</v>
      </c>
    </row>
    <row r="70" spans="1:5" x14ac:dyDescent="0.5">
      <c r="A70" s="30" t="s">
        <v>228</v>
      </c>
      <c r="B70" s="99"/>
      <c r="C70" s="132"/>
      <c r="D70" s="132"/>
    </row>
    <row r="71" spans="1:5" x14ac:dyDescent="0.5">
      <c r="A71" s="3" t="str" cm="1">
        <f t="array" ref="A71:A75">industry_experience</f>
        <v>Less than 1 year</v>
      </c>
      <c r="B71" s="90">
        <f>MATCH(A71,'Training programme data table'!$4:$4,0)</f>
        <v>42</v>
      </c>
      <c r="C71" s="138" cm="1">
        <f t="array" ref="C71">INDEX(training_programme_data_table,MATCH($C$5,training_programme_list,0),B71)</f>
        <v>0.7</v>
      </c>
      <c r="D71" s="133"/>
      <c r="E71" s="126">
        <f>IF(SUM($D$71:$D$75)=0,C71,D71)</f>
        <v>0.7</v>
      </c>
    </row>
    <row r="72" spans="1:5" x14ac:dyDescent="0.5">
      <c r="A72" s="3" t="str">
        <v>1 to 2 years</v>
      </c>
      <c r="B72" s="90">
        <f>MATCH(A72,'Training programme data table'!$4:$4,0)</f>
        <v>43</v>
      </c>
      <c r="C72" s="138" cm="1">
        <f t="array" ref="C72">INDEX(training_programme_data_table,MATCH($C$5,training_programme_list,0),B72)</f>
        <v>0.3</v>
      </c>
      <c r="D72" s="133"/>
      <c r="E72" s="126">
        <f t="shared" ref="E72:E75" si="7">IF(SUM($D$71:$D$75)=0,C72,D72)</f>
        <v>0.3</v>
      </c>
    </row>
    <row r="73" spans="1:5" x14ac:dyDescent="0.5">
      <c r="A73" s="3" t="str">
        <v>2 to 4 years</v>
      </c>
      <c r="B73" s="90">
        <f>MATCH(A73,'Training programme data table'!$4:$4,0)</f>
        <v>44</v>
      </c>
      <c r="C73" s="138" cm="1">
        <f t="array" ref="C73">INDEX(training_programme_data_table,MATCH($C$5,training_programme_list,0),B73)</f>
        <v>0</v>
      </c>
      <c r="D73" s="133"/>
      <c r="E73" s="126">
        <f t="shared" si="7"/>
        <v>0</v>
      </c>
    </row>
    <row r="74" spans="1:5" x14ac:dyDescent="0.5">
      <c r="A74" s="3" t="str">
        <v>5 to 10 years</v>
      </c>
      <c r="B74" s="90">
        <f>MATCH(A74,'Training programme data table'!$4:$4,0)</f>
        <v>45</v>
      </c>
      <c r="C74" s="138" cm="1">
        <f t="array" ref="C74">INDEX(training_programme_data_table,MATCH($C$5,training_programme_list,0),B74)</f>
        <v>0</v>
      </c>
      <c r="D74" s="133"/>
      <c r="E74" s="126">
        <f t="shared" si="7"/>
        <v>0</v>
      </c>
    </row>
    <row r="75" spans="1:5" x14ac:dyDescent="0.5">
      <c r="A75" s="3" t="str">
        <v>10+ years</v>
      </c>
      <c r="B75" s="90">
        <f>MATCH(A75,'Training programme data table'!$4:$4,0)</f>
        <v>46</v>
      </c>
      <c r="C75" s="138" cm="1">
        <f t="array" ref="C75">INDEX(training_programme_data_table,MATCH($C$5,training_programme_list,0),B75)</f>
        <v>0</v>
      </c>
      <c r="D75" s="133"/>
      <c r="E75" s="126">
        <f t="shared" si="7"/>
        <v>0</v>
      </c>
    </row>
    <row r="76" spans="1:5" x14ac:dyDescent="0.5">
      <c r="C76" s="134">
        <f>SUM(C71:C75)</f>
        <v>1</v>
      </c>
      <c r="D76" s="134">
        <f>SUM(D71:D75)</f>
        <v>0</v>
      </c>
      <c r="E76" s="242">
        <f>SUM(E71:E75)</f>
        <v>1</v>
      </c>
    </row>
    <row r="77" spans="1:5" x14ac:dyDescent="0.5">
      <c r="C77" s="71"/>
      <c r="D77" s="71"/>
    </row>
    <row r="78" spans="1:5" x14ac:dyDescent="0.5">
      <c r="A78" s="30" t="s">
        <v>329</v>
      </c>
      <c r="D78" s="132"/>
    </row>
    <row r="79" spans="1:5" x14ac:dyDescent="0.5">
      <c r="A79" s="3" t="str" cm="1">
        <f t="array" ref="A79:A99">prior_training</f>
        <v>No prior tertiary qualification</v>
      </c>
      <c r="B79" s="90">
        <f>MATCH(A79,'Training programme data table'!$4:$4,0)</f>
        <v>47</v>
      </c>
      <c r="C79" s="138" cm="1">
        <f t="array" ref="C79">INDEX(training_programme_data_table,MATCH($C$5,training_programme_list,0),B79)</f>
        <v>0.8</v>
      </c>
      <c r="D79" s="133"/>
      <c r="E79" s="126">
        <f t="shared" ref="E79:E98" si="8">IF(SUM($D$79:$D$99)=0,C79,D79)</f>
        <v>0.8</v>
      </c>
    </row>
    <row r="80" spans="1:5" x14ac:dyDescent="0.5">
      <c r="A80" s="69" t="str">
        <v>Industry relevant - L10</v>
      </c>
      <c r="B80" s="90">
        <f>MATCH(A80,'Training programme data table'!$4:$4,0)</f>
        <v>48</v>
      </c>
      <c r="C80" s="138" cm="1">
        <f t="array" ref="C80">INDEX(training_programme_data_table,MATCH($C$5,training_programme_list,0),B80)</f>
        <v>0</v>
      </c>
      <c r="D80" s="133"/>
      <c r="E80" s="126">
        <f t="shared" si="8"/>
        <v>0</v>
      </c>
    </row>
    <row r="81" spans="1:5" x14ac:dyDescent="0.5">
      <c r="A81" s="69" t="str">
        <v>Industry relevant - L9</v>
      </c>
      <c r="B81" s="90">
        <f>MATCH(A81,'Training programme data table'!$4:$4,0)</f>
        <v>49</v>
      </c>
      <c r="C81" s="138" cm="1">
        <f t="array" ref="C81">INDEX(training_programme_data_table,MATCH($C$5,training_programme_list,0),B81)</f>
        <v>0</v>
      </c>
      <c r="D81" s="133"/>
      <c r="E81" s="126">
        <f t="shared" si="8"/>
        <v>0</v>
      </c>
    </row>
    <row r="82" spans="1:5" x14ac:dyDescent="0.5">
      <c r="A82" s="69" t="str">
        <v>Industry relevant - L8</v>
      </c>
      <c r="B82" s="90">
        <f>MATCH(A82,'Training programme data table'!$4:$4,0)</f>
        <v>50</v>
      </c>
      <c r="C82" s="138" cm="1">
        <f t="array" ref="C82">INDEX(training_programme_data_table,MATCH($C$5,training_programme_list,0),B82)</f>
        <v>0</v>
      </c>
      <c r="D82" s="133"/>
      <c r="E82" s="126">
        <f t="shared" si="8"/>
        <v>0</v>
      </c>
    </row>
    <row r="83" spans="1:5" x14ac:dyDescent="0.5">
      <c r="A83" s="69" t="str">
        <v>Industry relevant - L7</v>
      </c>
      <c r="B83" s="90">
        <f>MATCH(A83,'Training programme data table'!$4:$4,0)</f>
        <v>51</v>
      </c>
      <c r="C83" s="138" cm="1">
        <f t="array" ref="C83">INDEX(training_programme_data_table,MATCH($C$5,training_programme_list,0),B83)</f>
        <v>0</v>
      </c>
      <c r="D83" s="133"/>
      <c r="E83" s="126">
        <f t="shared" si="8"/>
        <v>0</v>
      </c>
    </row>
    <row r="84" spans="1:5" x14ac:dyDescent="0.5">
      <c r="A84" s="69" t="str">
        <v>Industry relevant - L6</v>
      </c>
      <c r="B84" s="90">
        <f>MATCH(A84,'Training programme data table'!$4:$4,0)</f>
        <v>52</v>
      </c>
      <c r="C84" s="138" cm="1">
        <f t="array" ref="C84">INDEX(training_programme_data_table,MATCH($C$5,training_programme_list,0),B84)</f>
        <v>0</v>
      </c>
      <c r="D84" s="133"/>
      <c r="E84" s="126">
        <f t="shared" si="8"/>
        <v>0</v>
      </c>
    </row>
    <row r="85" spans="1:5" x14ac:dyDescent="0.5">
      <c r="A85" s="69" t="str">
        <v>Industry relevant - L5</v>
      </c>
      <c r="B85" s="90">
        <f>MATCH(A85,'Training programme data table'!$4:$4,0)</f>
        <v>53</v>
      </c>
      <c r="C85" s="138" cm="1">
        <f t="array" ref="C85">INDEX(training_programme_data_table,MATCH($C$5,training_programme_list,0),B85)</f>
        <v>0</v>
      </c>
      <c r="D85" s="133"/>
      <c r="E85" s="126">
        <f t="shared" si="8"/>
        <v>0</v>
      </c>
    </row>
    <row r="86" spans="1:5" x14ac:dyDescent="0.5">
      <c r="A86" s="69" t="str">
        <v>Industry relevant - L4</v>
      </c>
      <c r="B86" s="90">
        <f>MATCH(A86,'Training programme data table'!$4:$4,0)</f>
        <v>54</v>
      </c>
      <c r="C86" s="138" cm="1">
        <f t="array" ref="C86">INDEX(training_programme_data_table,MATCH($C$5,training_programme_list,0),B86)</f>
        <v>0</v>
      </c>
      <c r="D86" s="133"/>
      <c r="E86" s="126">
        <f t="shared" si="8"/>
        <v>0</v>
      </c>
    </row>
    <row r="87" spans="1:5" x14ac:dyDescent="0.5">
      <c r="A87" s="69" t="str">
        <v>Industry relevant - L3</v>
      </c>
      <c r="B87" s="90">
        <f>MATCH(A87,'Training programme data table'!$4:$4,0)</f>
        <v>55</v>
      </c>
      <c r="C87" s="138" cm="1">
        <f t="array" ref="C87">INDEX(training_programme_data_table,MATCH($C$5,training_programme_list,0),B87)</f>
        <v>0</v>
      </c>
      <c r="D87" s="133"/>
      <c r="E87" s="126">
        <f t="shared" si="8"/>
        <v>0</v>
      </c>
    </row>
    <row r="88" spans="1:5" x14ac:dyDescent="0.5">
      <c r="A88" s="69" t="str">
        <v>Industry relevant - L2</v>
      </c>
      <c r="B88" s="90">
        <f>MATCH(A88,'Training programme data table'!$4:$4,0)</f>
        <v>56</v>
      </c>
      <c r="C88" s="138" cm="1">
        <f t="array" ref="C88">INDEX(training_programme_data_table,MATCH($C$5,training_programme_list,0),B88)</f>
        <v>0</v>
      </c>
      <c r="D88" s="133"/>
      <c r="E88" s="126">
        <f t="shared" si="8"/>
        <v>0</v>
      </c>
    </row>
    <row r="89" spans="1:5" x14ac:dyDescent="0.5">
      <c r="A89" s="69" t="str">
        <v>Industry relevant - L1</v>
      </c>
      <c r="B89" s="90">
        <f>MATCH(A89,'Training programme data table'!$4:$4,0)</f>
        <v>57</v>
      </c>
      <c r="C89" s="138" cm="1">
        <f t="array" ref="C89">INDEX(training_programme_data_table,MATCH($C$5,training_programme_list,0),B89)</f>
        <v>0</v>
      </c>
      <c r="D89" s="133"/>
      <c r="E89" s="126">
        <f t="shared" si="8"/>
        <v>0</v>
      </c>
    </row>
    <row r="90" spans="1:5" x14ac:dyDescent="0.5">
      <c r="A90" s="69" t="str">
        <v>Other - L10</v>
      </c>
      <c r="B90" s="90">
        <f>MATCH(A90,'Training programme data table'!$4:$4,0)</f>
        <v>58</v>
      </c>
      <c r="C90" s="138" cm="1">
        <f t="array" ref="C90">INDEX(training_programme_data_table,MATCH($C$5,training_programme_list,0),B90)</f>
        <v>0</v>
      </c>
      <c r="D90" s="133"/>
      <c r="E90" s="126">
        <f t="shared" si="8"/>
        <v>0</v>
      </c>
    </row>
    <row r="91" spans="1:5" x14ac:dyDescent="0.5">
      <c r="A91" s="69" t="str">
        <v>Other - L9</v>
      </c>
      <c r="B91" s="90">
        <f>MATCH(A91,'Training programme data table'!$4:$4,0)</f>
        <v>59</v>
      </c>
      <c r="C91" s="138" cm="1">
        <f t="array" ref="C91">INDEX(training_programme_data_table,MATCH($C$5,training_programme_list,0),B91)</f>
        <v>0</v>
      </c>
      <c r="D91" s="133"/>
      <c r="E91" s="126">
        <f t="shared" si="8"/>
        <v>0</v>
      </c>
    </row>
    <row r="92" spans="1:5" x14ac:dyDescent="0.5">
      <c r="A92" s="69" t="str">
        <v>Other - L8</v>
      </c>
      <c r="B92" s="90">
        <f>MATCH(A92,'Training programme data table'!$4:$4,0)</f>
        <v>60</v>
      </c>
      <c r="C92" s="138" cm="1">
        <f t="array" ref="C92">INDEX(training_programme_data_table,MATCH($C$5,training_programme_list,0),B92)</f>
        <v>0</v>
      </c>
      <c r="D92" s="133"/>
      <c r="E92" s="126">
        <f t="shared" si="8"/>
        <v>0</v>
      </c>
    </row>
    <row r="93" spans="1:5" x14ac:dyDescent="0.5">
      <c r="A93" s="69" t="str">
        <v>Other - L7</v>
      </c>
      <c r="B93" s="90">
        <f>MATCH(A93,'Training programme data table'!$4:$4,0)</f>
        <v>61</v>
      </c>
      <c r="C93" s="138" cm="1">
        <f t="array" ref="C93">INDEX(training_programme_data_table,MATCH($C$5,training_programme_list,0),B93)</f>
        <v>0</v>
      </c>
      <c r="D93" s="133"/>
      <c r="E93" s="126">
        <f t="shared" si="8"/>
        <v>0</v>
      </c>
    </row>
    <row r="94" spans="1:5" x14ac:dyDescent="0.5">
      <c r="A94" s="69" t="str">
        <v>Other - L6</v>
      </c>
      <c r="B94" s="90">
        <f>MATCH(A94,'Training programme data table'!$4:$4,0)</f>
        <v>62</v>
      </c>
      <c r="C94" s="138" cm="1">
        <f t="array" ref="C94">INDEX(training_programme_data_table,MATCH($C$5,training_programme_list,0),B94)</f>
        <v>0</v>
      </c>
      <c r="D94" s="133"/>
      <c r="E94" s="126">
        <f t="shared" si="8"/>
        <v>0</v>
      </c>
    </row>
    <row r="95" spans="1:5" x14ac:dyDescent="0.5">
      <c r="A95" s="69" t="str">
        <v>Other - L5</v>
      </c>
      <c r="B95" s="90">
        <f>MATCH(A95,'Training programme data table'!$4:$4,0)</f>
        <v>63</v>
      </c>
      <c r="C95" s="138" cm="1">
        <f t="array" ref="C95">INDEX(training_programme_data_table,MATCH($C$5,training_programme_list,0),B95)</f>
        <v>0</v>
      </c>
      <c r="D95" s="133"/>
      <c r="E95" s="126">
        <f t="shared" si="8"/>
        <v>0</v>
      </c>
    </row>
    <row r="96" spans="1:5" x14ac:dyDescent="0.5">
      <c r="A96" s="69" t="str">
        <v>Other - L4</v>
      </c>
      <c r="B96" s="90">
        <f>MATCH(A96,'Training programme data table'!$4:$4,0)</f>
        <v>64</v>
      </c>
      <c r="C96" s="138" cm="1">
        <f t="array" ref="C96">INDEX(training_programme_data_table,MATCH($C$5,training_programme_list,0),B96)</f>
        <v>0</v>
      </c>
      <c r="D96" s="133"/>
      <c r="E96" s="126">
        <f>IF(SUM($D$79:$D$99)=0,C96,D96)</f>
        <v>0</v>
      </c>
    </row>
    <row r="97" spans="1:5" x14ac:dyDescent="0.5">
      <c r="A97" s="69" t="str">
        <v>Other - L3</v>
      </c>
      <c r="B97" s="90">
        <f>MATCH(A97,'Training programme data table'!$4:$4,0)</f>
        <v>65</v>
      </c>
      <c r="C97" s="138" cm="1">
        <f t="array" ref="C97">INDEX(training_programme_data_table,MATCH($C$5,training_programme_list,0),B97)</f>
        <v>0.1</v>
      </c>
      <c r="D97" s="133"/>
      <c r="E97" s="126">
        <f>IF(SUM($D$79:$D$99)=0,C97,D97)</f>
        <v>0.1</v>
      </c>
    </row>
    <row r="98" spans="1:5" x14ac:dyDescent="0.5">
      <c r="A98" s="69" t="str">
        <v>Other - L2</v>
      </c>
      <c r="B98" s="90">
        <f>MATCH(A98,'Training programme data table'!$4:$4,0)</f>
        <v>66</v>
      </c>
      <c r="C98" s="138" cm="1">
        <f t="array" ref="C98">INDEX(training_programme_data_table,MATCH($C$5,training_programme_list,0),B98)</f>
        <v>0.1</v>
      </c>
      <c r="D98" s="133"/>
      <c r="E98" s="126">
        <f t="shared" si="8"/>
        <v>0.1</v>
      </c>
    </row>
    <row r="99" spans="1:5" x14ac:dyDescent="0.5">
      <c r="A99" s="69" t="str">
        <v>Other - L1</v>
      </c>
      <c r="B99" s="90">
        <f>MATCH(A99,'Training programme data table'!$4:$4,0)</f>
        <v>67</v>
      </c>
      <c r="C99" s="138" cm="1">
        <f t="array" ref="C99">INDEX(training_programme_data_table,MATCH($C$5,training_programme_list,0),B99)</f>
        <v>0</v>
      </c>
      <c r="D99" s="133"/>
      <c r="E99" s="126">
        <f>IF(SUM($D$79:$D$99)=0,C99,D99)</f>
        <v>0</v>
      </c>
    </row>
    <row r="100" spans="1:5" x14ac:dyDescent="0.5">
      <c r="C100" s="134">
        <f>SUM(C79:C99)</f>
        <v>1</v>
      </c>
      <c r="D100" s="134">
        <f>SUM(D79:D99)</f>
        <v>0</v>
      </c>
      <c r="E100" s="242">
        <f>SUM(E79:E99)</f>
        <v>1</v>
      </c>
    </row>
    <row r="101" spans="1:5" x14ac:dyDescent="0.5">
      <c r="C101" s="71"/>
    </row>
    <row r="102" spans="1:5" x14ac:dyDescent="0.5">
      <c r="C102" s="71"/>
    </row>
    <row r="103" spans="1:5" x14ac:dyDescent="0.5">
      <c r="A103" s="9" t="s">
        <v>397</v>
      </c>
      <c r="B103" s="92"/>
      <c r="C103" s="72"/>
      <c r="D103" s="72"/>
    </row>
    <row r="104" spans="1:5" x14ac:dyDescent="0.5">
      <c r="A104" s="69"/>
      <c r="B104" s="69"/>
    </row>
    <row r="105" spans="1:5" x14ac:dyDescent="0.5">
      <c r="A105" s="74" t="s">
        <v>394</v>
      </c>
      <c r="B105" s="69"/>
    </row>
    <row r="106" spans="1:5" x14ac:dyDescent="0.5">
      <c r="A106" s="3" t="s">
        <v>395</v>
      </c>
      <c r="B106" s="90">
        <f>MATCH(A106,'Training programme data table'!$4:$4,0)</f>
        <v>68</v>
      </c>
      <c r="C106" s="170" cm="1">
        <f t="array" ref="C106">INDEX(training_programme_data_table,MATCH($C$5,training_programme_list,0),B106)</f>
        <v>40000</v>
      </c>
      <c r="D106" s="235"/>
      <c r="E106" s="170">
        <f t="shared" ref="E106:E110" si="9">IF(ISBLANK(D106),C106,D106)</f>
        <v>40000</v>
      </c>
    </row>
    <row r="107" spans="1:5" x14ac:dyDescent="0.5">
      <c r="A107" s="3" t="s">
        <v>396</v>
      </c>
      <c r="B107" s="90">
        <f>MATCH(A107,'Training programme data table'!$4:$4,0)</f>
        <v>69</v>
      </c>
      <c r="C107" s="170" cm="1">
        <f t="array" ref="C107">INDEX(training_programme_data_table,MATCH($C$5,training_programme_list,0),B107)</f>
        <v>8</v>
      </c>
      <c r="D107" s="141"/>
      <c r="E107" s="112">
        <f t="shared" si="9"/>
        <v>8</v>
      </c>
    </row>
    <row r="108" spans="1:5" x14ac:dyDescent="0.5">
      <c r="E108" s="112"/>
    </row>
    <row r="109" spans="1:5" x14ac:dyDescent="0.5">
      <c r="A109" s="74" t="s">
        <v>398</v>
      </c>
    </row>
    <row r="110" spans="1:5" x14ac:dyDescent="0.5">
      <c r="A110" s="3" t="s">
        <v>399</v>
      </c>
      <c r="B110" s="90">
        <f>MATCH(A110,'Training programme data table'!$4:$4,0)</f>
        <v>70</v>
      </c>
      <c r="C110" s="170" cm="1">
        <f t="array" ref="C110">INDEX(training_programme_data_table,MATCH($C$5,training_programme_list,0),B110)</f>
        <v>20</v>
      </c>
      <c r="D110" s="141"/>
      <c r="E110" s="112">
        <f t="shared" si="9"/>
        <v>20</v>
      </c>
    </row>
    <row r="111" spans="1:5" x14ac:dyDescent="0.5">
      <c r="E111" s="112"/>
    </row>
    <row r="112" spans="1:5" x14ac:dyDescent="0.5">
      <c r="A112" s="74" t="s">
        <v>547</v>
      </c>
    </row>
    <row r="113" spans="1:5" x14ac:dyDescent="0.5">
      <c r="A113" s="3" t="s">
        <v>549</v>
      </c>
      <c r="B113" s="90">
        <f>MATCH(A113,'Training programme data table'!$4:$4,0)</f>
        <v>71</v>
      </c>
      <c r="C113" s="170" cm="1">
        <f t="array" ref="C113">INDEX(training_programme_data_table,MATCH($C$5,training_programme_list,0),B113)</f>
        <v>7945</v>
      </c>
      <c r="D113" s="235"/>
      <c r="E113" s="170">
        <f t="shared" ref="E113:E114" si="10">IF(ISBLANK(D113),C113,D113)</f>
        <v>7945</v>
      </c>
    </row>
    <row r="114" spans="1:5" x14ac:dyDescent="0.5">
      <c r="A114" s="3" t="s">
        <v>548</v>
      </c>
      <c r="B114" s="90">
        <f>MATCH(A114,'Training programme data table'!$4:$4,0)</f>
        <v>72</v>
      </c>
      <c r="C114" s="170" cm="1">
        <f t="array" ref="C114">INDEX(training_programme_data_table,MATCH($C$5,training_programme_list,0),B114)</f>
        <v>1035</v>
      </c>
      <c r="D114" s="248"/>
      <c r="E114" s="170">
        <f t="shared" si="10"/>
        <v>1035</v>
      </c>
    </row>
    <row r="116" spans="1:5" x14ac:dyDescent="0.5">
      <c r="A116" s="52" t="s">
        <v>302</v>
      </c>
      <c r="B116" s="105"/>
      <c r="C116" s="106"/>
      <c r="D116" s="106"/>
    </row>
    <row r="118" spans="1:5" x14ac:dyDescent="0.5">
      <c r="A118" s="30" t="s">
        <v>303</v>
      </c>
    </row>
    <row r="119" spans="1:5" x14ac:dyDescent="0.5">
      <c r="A119" s="3" t="s">
        <v>471</v>
      </c>
      <c r="B119" s="90">
        <f>MATCH(A119,'Training programme data table'!$4:$4,0)</f>
        <v>73</v>
      </c>
      <c r="C119" s="170">
        <f>'Business profitability model'!B521</f>
        <v>4297.6971490372907</v>
      </c>
      <c r="E119" s="170">
        <f t="shared" ref="E119:E123" si="11">IF(ISBLANK(D119),C119,D119)</f>
        <v>4297.6971490372907</v>
      </c>
    </row>
    <row r="120" spans="1:5" x14ac:dyDescent="0.5">
      <c r="A120" s="3" t="s">
        <v>472</v>
      </c>
      <c r="B120" s="90">
        <f>MATCH(A120,'Training programme data table'!$4:$4,0)</f>
        <v>74</v>
      </c>
      <c r="C120" s="112" t="str">
        <f>'Business profitability model'!B522</f>
        <v>3,000 to 10,000</v>
      </c>
      <c r="E120" s="112" t="str">
        <f t="shared" si="11"/>
        <v>3,000 to 10,000</v>
      </c>
    </row>
    <row r="121" spans="1:5" x14ac:dyDescent="0.5">
      <c r="A121" s="3" t="s">
        <v>444</v>
      </c>
      <c r="B121" s="90">
        <f>MATCH(A121,'Training programme data table'!$4:$4,0)</f>
        <v>75</v>
      </c>
      <c r="C121" s="206">
        <f>'Business profitability model'!B525</f>
        <v>4.44400740547196</v>
      </c>
      <c r="E121" s="206">
        <f t="shared" si="11"/>
        <v>4.44400740547196</v>
      </c>
    </row>
    <row r="122" spans="1:5" x14ac:dyDescent="0.5">
      <c r="A122" s="3" t="s">
        <v>473</v>
      </c>
      <c r="B122" s="90">
        <f>MATCH(A122,'Training programme data table'!$4:$4,0)</f>
        <v>76</v>
      </c>
      <c r="C122" s="170">
        <f>'Business profitability model'!B526</f>
        <v>19098.997956797451</v>
      </c>
      <c r="E122" s="170">
        <f t="shared" si="11"/>
        <v>19098.997956797451</v>
      </c>
    </row>
    <row r="123" spans="1:5" x14ac:dyDescent="0.5">
      <c r="A123" s="3" t="s">
        <v>474</v>
      </c>
      <c r="B123" s="90">
        <f>MATCH(A123,'Training programme data table'!$4:$4,0)</f>
        <v>77</v>
      </c>
      <c r="C123" s="69" t="str">
        <f>'Business profitability model'!B527</f>
        <v>10,000 to 30,000</v>
      </c>
      <c r="E123" s="69" t="str">
        <f t="shared" si="11"/>
        <v>10,000 to 30,000</v>
      </c>
    </row>
    <row r="125" spans="1:5" x14ac:dyDescent="0.5">
      <c r="A125" s="30" t="s">
        <v>304</v>
      </c>
    </row>
    <row r="126" spans="1:5" x14ac:dyDescent="0.5">
      <c r="A126" s="3" t="s">
        <v>475</v>
      </c>
      <c r="B126" s="90">
        <f>MATCH(A126,'Training programme data table'!$4:$4,0)</f>
        <v>78</v>
      </c>
      <c r="C126" s="170">
        <f>'Lifetime earnings model'!B110</f>
        <v>67256.43665750217</v>
      </c>
      <c r="E126" s="170">
        <f t="shared" ref="E126:E127" si="12">IF(ISBLANK(D126),C126,D126)</f>
        <v>67256.43665750217</v>
      </c>
    </row>
    <row r="127" spans="1:5" x14ac:dyDescent="0.5">
      <c r="A127" s="3" t="s">
        <v>476</v>
      </c>
      <c r="B127" s="90">
        <f>MATCH(A127,'Training programme data table'!$4:$4,0)</f>
        <v>79</v>
      </c>
      <c r="C127" s="69" t="str">
        <f>'Lifetime earnings model'!B111</f>
        <v>30,000 to 100,000</v>
      </c>
      <c r="E127" s="69" t="str">
        <f t="shared" si="12"/>
        <v>30,000 to 100,000</v>
      </c>
    </row>
    <row r="129" spans="1:3070 3073:4095 4107:5118 5123:8182 8194:13306 13318:16384" x14ac:dyDescent="0.5">
      <c r="A129" s="30" t="s">
        <v>400</v>
      </c>
      <c r="B129" s="3"/>
    </row>
    <row r="130" spans="1:3070 3073:4095 4107:5118 5123:8182 8194:13306 13318:16384" x14ac:dyDescent="0.5">
      <c r="A130" s="3" t="s">
        <v>404</v>
      </c>
      <c r="B130" s="90">
        <f>MATCH(A130,'Training programme data table'!$4:$4,0)</f>
        <v>80</v>
      </c>
      <c r="C130" s="170">
        <f>'Delivery cost model'!B45</f>
        <v>3890</v>
      </c>
      <c r="E130" s="170">
        <f t="shared" ref="E130" si="13">IF(ISBLANK(D130),C130,D130)</f>
        <v>3890</v>
      </c>
    </row>
    <row r="132" spans="1:3070 3073:4095 4107:5118 5123:8182 8194:13306 13318:16384" x14ac:dyDescent="0.5">
      <c r="A132" s="56" t="s">
        <v>258</v>
      </c>
      <c r="B132" s="102"/>
      <c r="C132" s="102"/>
      <c r="D132" s="103"/>
      <c r="E132" s="103"/>
      <c r="F132" s="69"/>
    </row>
    <row r="133" spans="1:3070 3073:4095 4107:5118 5123:8182 8194:13306 13318:16384" x14ac:dyDescent="0.5">
      <c r="A133" s="69"/>
      <c r="B133" s="69"/>
      <c r="F133" s="69"/>
    </row>
    <row r="134" spans="1:3070 3073:4095 4107:5118 5123:8182 8194:13306 13318:16384" ht="25.8" x14ac:dyDescent="0.5">
      <c r="A134" s="256" t="str">
        <f>'Training programme data table'!A3</f>
        <v>Overview</v>
      </c>
      <c r="B134" s="256">
        <f>'Training programme data table'!B3</f>
        <v>0</v>
      </c>
      <c r="C134" s="256">
        <f>'Training programme data table'!C3</f>
        <v>0</v>
      </c>
      <c r="D134" s="256"/>
      <c r="E134" s="256">
        <f>'Training programme data table'!E3</f>
        <v>0</v>
      </c>
      <c r="F134" s="256">
        <f>'Training programme data table'!F3</f>
        <v>0</v>
      </c>
      <c r="G134" s="256">
        <f>'Training programme data table'!G3</f>
        <v>0</v>
      </c>
      <c r="H134" s="256">
        <f>'Training programme data table'!H3</f>
        <v>0</v>
      </c>
      <c r="I134" s="257" t="str">
        <f>'Training programme data table'!I3</f>
        <v>Delivery mode</v>
      </c>
      <c r="J134" s="257">
        <f>'Training programme data table'!J3</f>
        <v>0</v>
      </c>
      <c r="K134" s="257">
        <f>'Training programme data table'!K3</f>
        <v>0</v>
      </c>
      <c r="L134" s="257">
        <f>'Training programme data table'!L3</f>
        <v>0</v>
      </c>
      <c r="M134" s="257">
        <f>'Training programme data table'!M3</f>
        <v>0</v>
      </c>
      <c r="N134" s="258" t="str">
        <f>'Training programme data table'!N3</f>
        <v>Expected completion rate</v>
      </c>
      <c r="O134" s="258">
        <f>'Training programme data table'!O3</f>
        <v>0</v>
      </c>
      <c r="P134" s="258">
        <f>'Training programme data table'!P3</f>
        <v>0</v>
      </c>
      <c r="Q134" s="258">
        <f>'Training programme data table'!Q3</f>
        <v>0</v>
      </c>
      <c r="R134" s="257" t="str">
        <f>'Training programme data table'!R3</f>
        <v>Delivery quality</v>
      </c>
      <c r="S134" s="257">
        <f>'Training programme data table'!S3</f>
        <v>0</v>
      </c>
      <c r="T134" s="257">
        <f>'Training programme data table'!T3</f>
        <v>0</v>
      </c>
      <c r="U134" s="257">
        <f>'Training programme data table'!U3</f>
        <v>0</v>
      </c>
      <c r="V134" s="140" t="str">
        <f>'Training programme data table'!V3</f>
        <v>Volumes</v>
      </c>
      <c r="W134" s="254" t="str">
        <f>'Training programme data table'!W3</f>
        <v>Industry</v>
      </c>
      <c r="X134" s="254">
        <f>'Training programme data table'!X3</f>
        <v>0</v>
      </c>
      <c r="Y134" s="254">
        <f>'Training programme data table'!Y3</f>
        <v>0</v>
      </c>
      <c r="Z134" s="254">
        <f>'Training programme data table'!Z3</f>
        <v>0</v>
      </c>
      <c r="AA134" s="254">
        <f>'Training programme data table'!AA3</f>
        <v>0</v>
      </c>
      <c r="AB134" s="254">
        <f>'Training programme data table'!AB3</f>
        <v>0</v>
      </c>
      <c r="AC134" s="254">
        <f>'Training programme data table'!AC3</f>
        <v>0</v>
      </c>
      <c r="AD134" s="254">
        <f>'Training programme data table'!AD3</f>
        <v>0</v>
      </c>
      <c r="AE134" s="254">
        <f>'Training programme data table'!AE3</f>
        <v>0</v>
      </c>
      <c r="AF134" s="254">
        <f>'Training programme data table'!AF3</f>
        <v>0</v>
      </c>
      <c r="AG134" s="254">
        <f>'Training programme data table'!AG3</f>
        <v>0</v>
      </c>
      <c r="AH134" s="254">
        <f>'Training programme data table'!AH3</f>
        <v>0</v>
      </c>
      <c r="AI134" s="254">
        <f>'Training programme data table'!AI3</f>
        <v>0</v>
      </c>
      <c r="AJ134" s="254">
        <f>'Training programme data table'!AJ3</f>
        <v>0</v>
      </c>
      <c r="AK134" s="254">
        <f>'Training programme data table'!AK3</f>
        <v>0</v>
      </c>
      <c r="AL134" s="253" t="str">
        <f>'Training programme data table'!AL3</f>
        <v>Roles</v>
      </c>
      <c r="AM134" s="253">
        <f>'Training programme data table'!AM3</f>
        <v>0</v>
      </c>
      <c r="AN134" s="253">
        <f>'Training programme data table'!AN3</f>
        <v>0</v>
      </c>
      <c r="AO134" s="253">
        <f>'Training programme data table'!AO3</f>
        <v>0</v>
      </c>
      <c r="AP134" s="254" t="str">
        <f>'Training programme data table'!AP3</f>
        <v>Years of experience</v>
      </c>
      <c r="AQ134" s="254">
        <f>'Training programme data table'!AQ3</f>
        <v>0</v>
      </c>
      <c r="AR134" s="254">
        <f>'Training programme data table'!AR3</f>
        <v>0</v>
      </c>
      <c r="AS134" s="254">
        <f>'Training programme data table'!AS3</f>
        <v>0</v>
      </c>
      <c r="AT134" s="254">
        <f>'Training programme data table'!AT3</f>
        <v>0</v>
      </c>
      <c r="AU134" s="253" t="str">
        <f>'Training programme data table'!AU3</f>
        <v>Prior training</v>
      </c>
      <c r="AV134" s="253"/>
      <c r="AW134" s="253"/>
      <c r="AX134" s="253"/>
      <c r="AY134" s="253"/>
      <c r="AZ134" s="253"/>
      <c r="BA134" s="253"/>
      <c r="BB134" s="253"/>
      <c r="BC134" s="253"/>
      <c r="BD134" s="253"/>
      <c r="BE134" s="253"/>
      <c r="BF134" s="253"/>
      <c r="BG134" s="253"/>
      <c r="BH134" s="253"/>
      <c r="BI134" s="253"/>
      <c r="BJ134" s="253"/>
      <c r="BK134" s="253"/>
      <c r="BL134" s="253"/>
      <c r="BM134" s="253"/>
      <c r="BN134" s="253" t="e">
        <f>'Training programme data table'!#REF!</f>
        <v>#REF!</v>
      </c>
      <c r="BO134" s="253" t="e">
        <f>'Training programme data table'!#REF!</f>
        <v>#REF!</v>
      </c>
      <c r="BP134" s="255" t="s">
        <v>394</v>
      </c>
      <c r="BQ134" s="255"/>
      <c r="BR134" s="167" t="s">
        <v>398</v>
      </c>
      <c r="BS134" s="259" t="s">
        <v>550</v>
      </c>
      <c r="BT134" s="259"/>
      <c r="BU134" s="252" t="s">
        <v>317</v>
      </c>
      <c r="BV134" s="252" t="s">
        <v>317</v>
      </c>
      <c r="BW134" s="252"/>
      <c r="BX134" s="252"/>
      <c r="BY134" s="252"/>
      <c r="BZ134" s="252"/>
      <c r="CA134" s="252"/>
      <c r="CB134" s="252"/>
      <c r="CC134" s="168"/>
    </row>
    <row r="135" spans="1:3070 3073:4095 4107:5118 5123:8182 8194:13306 13318:16384" s="108" customFormat="1" ht="47.05" customHeight="1" x14ac:dyDescent="0.55000000000000004">
      <c r="A135" s="113" t="str">
        <f>'Training programme data table'!A4</f>
        <v>ID</v>
      </c>
      <c r="B135" s="101" t="str">
        <f>'Training programme data table'!B4</f>
        <v>Programme name</v>
      </c>
      <c r="C135" s="101" t="str">
        <f>'Training programme data table'!C4</f>
        <v>Provider</v>
      </c>
      <c r="D135" s="101" t="s">
        <v>316</v>
      </c>
      <c r="E135" s="101" t="str">
        <f>'Training programme data table'!E4</f>
        <v>Duration (Learning hours)</v>
      </c>
      <c r="F135" s="101" t="str">
        <f>'Training programme data table'!F4</f>
        <v>Programme type</v>
      </c>
      <c r="G135" s="101" t="str">
        <f>'Training programme data table'!G4</f>
        <v>NZQF level</v>
      </c>
      <c r="H135" s="101" t="str">
        <f>'Training programme data table'!H4</f>
        <v>NZSCED description</v>
      </c>
      <c r="I135" s="114" t="str">
        <f>'Training programme data table'!I4</f>
        <v>'Classroom' learning</v>
      </c>
      <c r="J135" s="114" t="str">
        <f>'Training programme data table'!J4</f>
        <v>Work-based learning</v>
      </c>
      <c r="K135" s="114" t="str">
        <f>'Training programme data table'!K4</f>
        <v>One-to-one coaching</v>
      </c>
      <c r="L135" s="114" t="str">
        <f>'Training programme data table'!L4</f>
        <v>Online (synchronous)</v>
      </c>
      <c r="M135" s="114" t="str">
        <f>'Training programme data table'!M4</f>
        <v>Self-directed learning</v>
      </c>
      <c r="N135" s="114" t="str">
        <f>'Training programme data table'!N4</f>
        <v>Fully complete</v>
      </c>
      <c r="O135" s="114" t="str">
        <f>'Training programme data table'!O4</f>
        <v>50-99% complete</v>
      </c>
      <c r="P135" s="114" t="str">
        <f>'Training programme data table'!P4</f>
        <v>20-49% complete</v>
      </c>
      <c r="Q135" s="114" t="str">
        <f>'Training programme data table'!Q4</f>
        <v>less than 20%</v>
      </c>
      <c r="R135" s="114" t="str">
        <f>'Training programme data table'!R4</f>
        <v>Excellent</v>
      </c>
      <c r="S135" s="114" t="str">
        <f>'Training programme data table'!S4</f>
        <v>Good</v>
      </c>
      <c r="T135" s="114" t="str">
        <f>'Training programme data table'!T4</f>
        <v>Typical</v>
      </c>
      <c r="U135" s="114" t="str">
        <f>'Training programme data table'!U4</f>
        <v>Not acceptable</v>
      </c>
      <c r="V135" s="114" t="str">
        <f>'Training programme data table'!V4</f>
        <v>Anticipated volume (new enrolments per year)</v>
      </c>
      <c r="W135" s="115" t="str">
        <f>'Training programme data table'!W4</f>
        <v>Apiculture</v>
      </c>
      <c r="X135" s="115" t="str">
        <f>'Training programme data table'!X4</f>
        <v>Arable</v>
      </c>
      <c r="Y135" s="115" t="str">
        <f>'Training programme data table'!Y4</f>
        <v>Dairy farming</v>
      </c>
      <c r="Z135" s="115" t="str">
        <f>'Training programme data table'!Z4</f>
        <v>Equine, dogs and racing</v>
      </c>
      <c r="AA135" s="115" t="str">
        <f>'Training programme data table'!AA4</f>
        <v>Forestry</v>
      </c>
      <c r="AB135" s="115" t="str">
        <f>'Training programme data table'!AB4</f>
        <v>Fruit</v>
      </c>
      <c r="AC135" s="115" t="str">
        <f>'Training programme data table'!AC4</f>
        <v>Grapes and wine</v>
      </c>
      <c r="AD135" s="115" t="str">
        <f>'Training programme data table'!AD4</f>
        <v>Nursery, turf and gardening</v>
      </c>
      <c r="AE135" s="115" t="str">
        <f>'Training programme data table'!AE4</f>
        <v>Poultry, pigs &amp; other livestock</v>
      </c>
      <c r="AF135" s="115" t="str">
        <f>'Training programme data table'!AF4</f>
        <v>Seafood - production</v>
      </c>
      <c r="AG135" s="115" t="str">
        <f>'Training programme data table'!AG4</f>
        <v>Seafood - processing</v>
      </c>
      <c r="AH135" s="115" t="str">
        <f>'Training programme data table'!AH4</f>
        <v>Sheep, beef and deer farming</v>
      </c>
      <c r="AI135" s="115" t="str">
        <f>'Training programme data table'!AI4</f>
        <v>Support services</v>
      </c>
      <c r="AJ135" s="115" t="str">
        <f>'Training programme data table'!AJ4</f>
        <v>Vegetables</v>
      </c>
      <c r="AK135" s="115" t="str">
        <f>'Training programme data table'!AK4</f>
        <v>Veterinary</v>
      </c>
      <c r="AL135" s="115" t="str">
        <f>'Training programme data table'!AL4</f>
        <v>Strategic manager</v>
      </c>
      <c r="AM135" s="115" t="str">
        <f>'Training programme data table'!AM4</f>
        <v>Manager</v>
      </c>
      <c r="AN135" s="115" t="str">
        <f>'Training programme data table'!AN4</f>
        <v>Semi-autonomous</v>
      </c>
      <c r="AO135" s="115" t="str">
        <f>'Training programme data table'!AO4</f>
        <v>Managed</v>
      </c>
      <c r="AP135" s="115" t="str">
        <f>'Training programme data table'!AP4</f>
        <v>Less than 1 year</v>
      </c>
      <c r="AQ135" s="115" t="str">
        <f>'Training programme data table'!AQ4</f>
        <v>1 to 2 years</v>
      </c>
      <c r="AR135" s="115" t="str">
        <f>'Training programme data table'!AR4</f>
        <v>2 to 4 years</v>
      </c>
      <c r="AS135" s="115" t="str">
        <f>'Training programme data table'!AS4</f>
        <v>5 to 10 years</v>
      </c>
      <c r="AT135" s="115" t="str">
        <f>'Training programme data table'!AT4</f>
        <v>10+ years</v>
      </c>
      <c r="AU135" s="115" t="str">
        <f>'Training programme data table'!AU4</f>
        <v>No prior tertiary qualification</v>
      </c>
      <c r="AV135" s="115" t="str">
        <f>'Training programme data table'!AV4</f>
        <v>Industry relevant - L10</v>
      </c>
      <c r="AW135" s="115" t="str">
        <f>'Training programme data table'!AW4</f>
        <v>Industry relevant - L9</v>
      </c>
      <c r="AX135" s="115" t="str">
        <f>'Training programme data table'!AX4</f>
        <v>Industry relevant - L8</v>
      </c>
      <c r="AY135" s="115" t="str">
        <f>'Training programme data table'!AY4</f>
        <v>Industry relevant - L7</v>
      </c>
      <c r="AZ135" s="115" t="str">
        <f>'Training programme data table'!AZ4</f>
        <v>Industry relevant - L6</v>
      </c>
      <c r="BA135" s="115" t="str">
        <f>'Training programme data table'!BA4</f>
        <v>Industry relevant - L5</v>
      </c>
      <c r="BB135" s="115" t="str">
        <f>'Training programme data table'!BB4</f>
        <v>Industry relevant - L4</v>
      </c>
      <c r="BC135" s="115" t="str">
        <f>'Training programme data table'!BC4</f>
        <v>Industry relevant - L3</v>
      </c>
      <c r="BD135" s="115" t="str">
        <f>'Training programme data table'!BD4</f>
        <v>Industry relevant - L2</v>
      </c>
      <c r="BE135" s="115" t="str">
        <f>'Training programme data table'!BE4</f>
        <v>Industry relevant - L1</v>
      </c>
      <c r="BF135" s="115" t="str">
        <f>'Training programme data table'!BF4</f>
        <v>Other - L10</v>
      </c>
      <c r="BG135" s="115" t="str">
        <f>'Training programme data table'!BG4</f>
        <v>Other - L9</v>
      </c>
      <c r="BH135" s="115" t="str">
        <f>'Training programme data table'!BH4</f>
        <v>Other - L8</v>
      </c>
      <c r="BI135" s="115" t="str">
        <f>'Training programme data table'!BI4</f>
        <v>Other - L7</v>
      </c>
      <c r="BJ135" s="115" t="str">
        <f>'Training programme data table'!BJ4</f>
        <v>Other - L6</v>
      </c>
      <c r="BK135" s="115" t="str">
        <f>'Training programme data table'!BK4</f>
        <v>Other - L5</v>
      </c>
      <c r="BL135" s="115" t="str">
        <f>'Training programme data table'!BL4</f>
        <v>Other - L4</v>
      </c>
      <c r="BM135" s="115" t="str">
        <f>'Training programme data table'!BM4</f>
        <v>Other - L3</v>
      </c>
      <c r="BN135" s="115" t="str">
        <f>'Training programme data table'!BN4</f>
        <v>Other - L2</v>
      </c>
      <c r="BO135" s="115" t="str">
        <f>'Training programme data table'!BO4</f>
        <v>Other - L1</v>
      </c>
      <c r="BP135" s="125" t="s">
        <v>395</v>
      </c>
      <c r="BQ135" s="125" t="s">
        <v>396</v>
      </c>
      <c r="BR135" s="125" t="s">
        <v>399</v>
      </c>
      <c r="BS135" s="183" t="s">
        <v>549</v>
      </c>
      <c r="BT135" s="183" t="s">
        <v>548</v>
      </c>
      <c r="BU135" s="182" t="s">
        <v>471</v>
      </c>
      <c r="BV135" s="182" t="s">
        <v>472</v>
      </c>
      <c r="BW135" s="182" t="s">
        <v>444</v>
      </c>
      <c r="BX135" s="182" t="s">
        <v>473</v>
      </c>
      <c r="BY135" s="182" t="s">
        <v>474</v>
      </c>
      <c r="BZ135" s="182" t="s">
        <v>475</v>
      </c>
      <c r="CA135" s="182" t="s">
        <v>476</v>
      </c>
      <c r="CB135" s="182" t="s">
        <v>404</v>
      </c>
      <c r="CC135" s="169"/>
    </row>
    <row r="136" spans="1:3070 3073:4095 4107:5118 5123:8182 8194:13306 13318:16384" x14ac:dyDescent="0.5">
      <c r="A136" s="82" t="str">
        <f>_xlfn.XLOOKUP(B136,training_programme_list,'Training programme data table'!A5:A42)</f>
        <v>P0037</v>
      </c>
      <c r="B136" s="3" t="str">
        <f>C5</f>
        <v>Microcredential - Farm production fundamentals - L3</v>
      </c>
      <c r="C136" s="3" t="str">
        <f>E6</f>
        <v>Food and fibre training group</v>
      </c>
      <c r="D136" s="69">
        <f t="shared" ref="D136:AI136" si="14">_xlfn.XLOOKUP(COLUMN(),$B$3:$B$131,$E$3:$E$131)</f>
        <v>30</v>
      </c>
      <c r="E136" s="69">
        <f t="shared" si="14"/>
        <v>300</v>
      </c>
      <c r="F136" s="3" t="str">
        <f t="shared" si="14"/>
        <v>Micro-credential</v>
      </c>
      <c r="G136" s="3" t="str">
        <f t="shared" si="14"/>
        <v>L3</v>
      </c>
      <c r="H136" s="3" t="str">
        <f t="shared" si="14"/>
        <v>Agricultural Science</v>
      </c>
      <c r="I136" s="116">
        <f t="shared" si="14"/>
        <v>0.2</v>
      </c>
      <c r="J136" s="116">
        <f t="shared" si="14"/>
        <v>0.8</v>
      </c>
      <c r="K136" s="116">
        <f t="shared" si="14"/>
        <v>0</v>
      </c>
      <c r="L136" s="116">
        <f t="shared" si="14"/>
        <v>0</v>
      </c>
      <c r="M136" s="116">
        <f t="shared" si="14"/>
        <v>0</v>
      </c>
      <c r="N136" s="116">
        <f t="shared" si="14"/>
        <v>0.7</v>
      </c>
      <c r="O136" s="116">
        <f t="shared" si="14"/>
        <v>0.05</v>
      </c>
      <c r="P136" s="116">
        <f t="shared" si="14"/>
        <v>0.1</v>
      </c>
      <c r="Q136" s="116">
        <f t="shared" si="14"/>
        <v>0.15</v>
      </c>
      <c r="R136" s="116">
        <f t="shared" si="14"/>
        <v>0</v>
      </c>
      <c r="S136" s="116">
        <f t="shared" si="14"/>
        <v>0</v>
      </c>
      <c r="T136" s="116">
        <f t="shared" si="14"/>
        <v>1</v>
      </c>
      <c r="U136" s="116">
        <f t="shared" si="14"/>
        <v>0</v>
      </c>
      <c r="V136" s="69">
        <f t="shared" si="14"/>
        <v>100</v>
      </c>
      <c r="W136" s="118">
        <f t="shared" si="14"/>
        <v>0</v>
      </c>
      <c r="X136" s="118">
        <f t="shared" si="14"/>
        <v>0</v>
      </c>
      <c r="Y136" s="118">
        <f t="shared" si="14"/>
        <v>0.85</v>
      </c>
      <c r="Z136" s="118">
        <f t="shared" si="14"/>
        <v>0</v>
      </c>
      <c r="AA136" s="118">
        <f t="shared" si="14"/>
        <v>0</v>
      </c>
      <c r="AB136" s="118">
        <f t="shared" si="14"/>
        <v>0</v>
      </c>
      <c r="AC136" s="118">
        <f t="shared" si="14"/>
        <v>0</v>
      </c>
      <c r="AD136" s="118">
        <f t="shared" si="14"/>
        <v>0</v>
      </c>
      <c r="AE136" s="118">
        <f t="shared" si="14"/>
        <v>0</v>
      </c>
      <c r="AF136" s="118">
        <f t="shared" si="14"/>
        <v>0</v>
      </c>
      <c r="AG136" s="118">
        <f t="shared" si="14"/>
        <v>0</v>
      </c>
      <c r="AH136" s="118">
        <f t="shared" si="14"/>
        <v>0.15</v>
      </c>
      <c r="AI136" s="118">
        <f t="shared" si="14"/>
        <v>0</v>
      </c>
      <c r="AJ136" s="118">
        <f t="shared" ref="AJ136:BO136" si="15">_xlfn.XLOOKUP(COLUMN(),$B$3:$B$131,$E$3:$E$131)</f>
        <v>0</v>
      </c>
      <c r="AK136" s="118">
        <f t="shared" si="15"/>
        <v>0</v>
      </c>
      <c r="AL136" s="3">
        <f t="shared" si="15"/>
        <v>0</v>
      </c>
      <c r="AM136" s="3">
        <f t="shared" si="15"/>
        <v>0</v>
      </c>
      <c r="AN136" s="3">
        <f t="shared" si="15"/>
        <v>0</v>
      </c>
      <c r="AO136" s="3">
        <f t="shared" si="15"/>
        <v>1</v>
      </c>
      <c r="AP136" s="118">
        <f t="shared" si="15"/>
        <v>0.7</v>
      </c>
      <c r="AQ136" s="118">
        <f t="shared" si="15"/>
        <v>0.3</v>
      </c>
      <c r="AR136" s="118">
        <f t="shared" si="15"/>
        <v>0</v>
      </c>
      <c r="AS136" s="118">
        <f t="shared" si="15"/>
        <v>0</v>
      </c>
      <c r="AT136" s="118">
        <f t="shared" si="15"/>
        <v>0</v>
      </c>
      <c r="AU136" s="118">
        <f t="shared" si="15"/>
        <v>0.8</v>
      </c>
      <c r="AV136" s="118">
        <f t="shared" si="15"/>
        <v>0</v>
      </c>
      <c r="AW136" s="118">
        <f t="shared" si="15"/>
        <v>0</v>
      </c>
      <c r="AX136" s="118">
        <f t="shared" si="15"/>
        <v>0</v>
      </c>
      <c r="AY136" s="118">
        <f t="shared" si="15"/>
        <v>0</v>
      </c>
      <c r="AZ136" s="118">
        <f t="shared" si="15"/>
        <v>0</v>
      </c>
      <c r="BA136" s="118">
        <f t="shared" si="15"/>
        <v>0</v>
      </c>
      <c r="BB136" s="118">
        <f t="shared" si="15"/>
        <v>0</v>
      </c>
      <c r="BC136" s="118">
        <f t="shared" si="15"/>
        <v>0</v>
      </c>
      <c r="BD136" s="118">
        <f t="shared" si="15"/>
        <v>0</v>
      </c>
      <c r="BE136" s="118">
        <f t="shared" si="15"/>
        <v>0</v>
      </c>
      <c r="BF136" s="118">
        <f t="shared" si="15"/>
        <v>0</v>
      </c>
      <c r="BG136" s="118">
        <f t="shared" si="15"/>
        <v>0</v>
      </c>
      <c r="BH136" s="118">
        <f t="shared" si="15"/>
        <v>0</v>
      </c>
      <c r="BI136" s="118">
        <f t="shared" si="15"/>
        <v>0</v>
      </c>
      <c r="BJ136" s="118">
        <f t="shared" si="15"/>
        <v>0</v>
      </c>
      <c r="BK136" s="118">
        <f t="shared" si="15"/>
        <v>0</v>
      </c>
      <c r="BL136" s="118">
        <f t="shared" si="15"/>
        <v>0</v>
      </c>
      <c r="BM136" s="118">
        <f t="shared" si="15"/>
        <v>0.1</v>
      </c>
      <c r="BN136" s="118">
        <f t="shared" si="15"/>
        <v>0.1</v>
      </c>
      <c r="BO136" s="118">
        <f t="shared" si="15"/>
        <v>0</v>
      </c>
      <c r="BP136" s="170">
        <f t="shared" ref="BP136:CB136" si="16">_xlfn.XLOOKUP(COLUMN(),$B$3:$B$131,$E$3:$E$131)</f>
        <v>40000</v>
      </c>
      <c r="BQ136" s="170">
        <f t="shared" si="16"/>
        <v>8</v>
      </c>
      <c r="BR136" s="170">
        <f t="shared" si="16"/>
        <v>20</v>
      </c>
      <c r="BS136" s="170">
        <f t="shared" si="16"/>
        <v>7945</v>
      </c>
      <c r="BT136" s="170">
        <f t="shared" si="16"/>
        <v>1035</v>
      </c>
      <c r="BU136" s="170">
        <f>E119</f>
        <v>4297.6971490372907</v>
      </c>
      <c r="BV136" s="118" t="str">
        <f t="shared" si="16"/>
        <v>3,000 to 10,000</v>
      </c>
      <c r="BW136" s="206">
        <f t="shared" si="16"/>
        <v>4.44400740547196</v>
      </c>
      <c r="BX136" s="170">
        <f>E122</f>
        <v>19098.997956797451</v>
      </c>
      <c r="BY136" s="118" t="str">
        <f t="shared" si="16"/>
        <v>10,000 to 30,000</v>
      </c>
      <c r="BZ136" s="170">
        <f>E126</f>
        <v>67256.43665750217</v>
      </c>
      <c r="CA136" s="118" t="str">
        <f t="shared" si="16"/>
        <v>30,000 to 100,000</v>
      </c>
      <c r="CB136" s="170">
        <f t="shared" si="16"/>
        <v>3890</v>
      </c>
      <c r="CF136" s="69"/>
      <c r="CJ136" s="116"/>
      <c r="CK136" s="116"/>
      <c r="CL136" s="116"/>
      <c r="CM136" s="116"/>
      <c r="CN136" s="116"/>
      <c r="CO136" s="116"/>
      <c r="CP136" s="116"/>
      <c r="CQ136" s="116"/>
      <c r="CR136" s="116"/>
      <c r="CS136" s="116"/>
      <c r="CT136" s="116"/>
      <c r="CU136" s="116"/>
      <c r="CV136" s="116"/>
      <c r="CW136" s="116"/>
      <c r="CX136" s="118"/>
      <c r="CY136" s="118"/>
      <c r="CZ136" s="118"/>
      <c r="DA136" s="118"/>
      <c r="DB136" s="118"/>
      <c r="DC136" s="118"/>
      <c r="DD136" s="118"/>
      <c r="DE136" s="118"/>
      <c r="DF136" s="118"/>
      <c r="DG136" s="118"/>
      <c r="DH136" s="118"/>
      <c r="DI136" s="118"/>
      <c r="DJ136" s="118"/>
      <c r="DK136" s="118"/>
      <c r="DL136" s="118"/>
      <c r="DQ136" s="118"/>
      <c r="DR136" s="118"/>
      <c r="DS136" s="118"/>
      <c r="DT136" s="118"/>
      <c r="DU136" s="118"/>
      <c r="DV136" s="118"/>
      <c r="DW136" s="118"/>
      <c r="DX136" s="118"/>
      <c r="DY136" s="118"/>
      <c r="DZ136" s="118"/>
      <c r="EL136" s="82"/>
      <c r="EO136" s="69"/>
      <c r="ES136" s="116"/>
      <c r="ET136" s="116"/>
      <c r="EU136" s="116"/>
      <c r="EV136" s="116"/>
      <c r="EW136" s="116"/>
      <c r="EX136" s="116"/>
      <c r="EY136" s="116"/>
      <c r="EZ136" s="116"/>
      <c r="FA136" s="116"/>
      <c r="FB136" s="116"/>
      <c r="FC136" s="116"/>
      <c r="FD136" s="116"/>
      <c r="FE136" s="116"/>
      <c r="FF136" s="116"/>
      <c r="FG136" s="118"/>
      <c r="FH136" s="118"/>
      <c r="FI136" s="118"/>
      <c r="FJ136" s="118"/>
      <c r="FK136" s="118"/>
      <c r="FL136" s="118"/>
      <c r="FM136" s="118"/>
      <c r="FN136" s="118"/>
      <c r="FO136" s="118"/>
      <c r="FP136" s="118"/>
      <c r="FQ136" s="118"/>
      <c r="FR136" s="118"/>
      <c r="FS136" s="118"/>
      <c r="FT136" s="118"/>
      <c r="FU136" s="118"/>
      <c r="FZ136" s="118"/>
      <c r="GA136" s="118"/>
      <c r="GB136" s="118"/>
      <c r="GC136" s="118"/>
      <c r="GD136" s="118"/>
      <c r="GE136" s="118"/>
      <c r="GF136" s="118"/>
      <c r="GG136" s="118"/>
      <c r="GH136" s="118"/>
      <c r="GI136" s="118"/>
      <c r="GU136" s="82"/>
      <c r="GX136" s="69"/>
      <c r="HB136" s="116"/>
      <c r="HC136" s="116"/>
      <c r="HD136" s="116"/>
      <c r="HE136" s="116"/>
      <c r="HF136" s="116"/>
      <c r="HG136" s="116"/>
      <c r="HH136" s="116"/>
      <c r="HI136" s="116"/>
      <c r="HJ136" s="116"/>
      <c r="HK136" s="116"/>
      <c r="HL136" s="116"/>
      <c r="HM136" s="116"/>
      <c r="HN136" s="116"/>
      <c r="HO136" s="116"/>
      <c r="HP136" s="118"/>
      <c r="HQ136" s="118"/>
      <c r="HR136" s="118"/>
      <c r="HS136" s="118"/>
      <c r="HT136" s="118"/>
      <c r="HU136" s="118"/>
      <c r="HV136" s="118"/>
      <c r="HW136" s="118"/>
      <c r="HX136" s="118"/>
      <c r="HY136" s="118"/>
      <c r="HZ136" s="118"/>
      <c r="IA136" s="118"/>
      <c r="IB136" s="118"/>
      <c r="IC136" s="118"/>
      <c r="ID136" s="118"/>
      <c r="II136" s="118"/>
      <c r="IJ136" s="118"/>
      <c r="IK136" s="118"/>
      <c r="IL136" s="118"/>
      <c r="IM136" s="118"/>
      <c r="IN136" s="118"/>
      <c r="IO136" s="118"/>
      <c r="IP136" s="118"/>
      <c r="IQ136" s="118"/>
      <c r="IR136" s="118"/>
      <c r="JD136" s="82"/>
      <c r="JG136" s="69"/>
      <c r="JK136" s="116"/>
      <c r="JL136" s="116"/>
      <c r="JM136" s="116"/>
      <c r="JN136" s="116"/>
      <c r="JO136" s="116"/>
      <c r="JP136" s="116"/>
      <c r="JQ136" s="116"/>
      <c r="JR136" s="116"/>
      <c r="JS136" s="116"/>
      <c r="JT136" s="116"/>
      <c r="JU136" s="116"/>
      <c r="JV136" s="116"/>
      <c r="JW136" s="116"/>
      <c r="JX136" s="116"/>
      <c r="JY136" s="118"/>
      <c r="JZ136" s="118"/>
      <c r="KA136" s="118"/>
      <c r="KB136" s="118"/>
      <c r="KC136" s="118"/>
      <c r="KD136" s="118"/>
      <c r="KE136" s="118"/>
      <c r="KF136" s="118"/>
      <c r="KG136" s="118"/>
      <c r="KH136" s="118"/>
      <c r="KI136" s="118"/>
      <c r="KJ136" s="118"/>
      <c r="KK136" s="118"/>
      <c r="KL136" s="118"/>
      <c r="KM136" s="118"/>
      <c r="KR136" s="118"/>
      <c r="KS136" s="118"/>
      <c r="KT136" s="118"/>
      <c r="KU136" s="118"/>
      <c r="KV136" s="118"/>
      <c r="KW136" s="118"/>
      <c r="KX136" s="118"/>
      <c r="KY136" s="118"/>
      <c r="KZ136" s="118"/>
      <c r="LA136" s="118"/>
      <c r="LM136" s="82"/>
      <c r="LP136" s="69"/>
      <c r="LT136" s="116"/>
      <c r="LU136" s="116"/>
      <c r="LV136" s="116"/>
      <c r="LW136" s="116"/>
      <c r="LX136" s="116"/>
      <c r="LY136" s="116"/>
      <c r="LZ136" s="116"/>
      <c r="MA136" s="116"/>
      <c r="MB136" s="116"/>
      <c r="MC136" s="116"/>
      <c r="MD136" s="116"/>
      <c r="ME136" s="116"/>
      <c r="MF136" s="116"/>
      <c r="MG136" s="116"/>
      <c r="MH136" s="118"/>
      <c r="MI136" s="118"/>
      <c r="MJ136" s="118"/>
      <c r="MK136" s="118"/>
      <c r="ML136" s="118"/>
      <c r="MM136" s="118"/>
      <c r="MN136" s="118"/>
      <c r="MO136" s="118"/>
      <c r="MP136" s="118"/>
      <c r="MQ136" s="118"/>
      <c r="MR136" s="118"/>
      <c r="MS136" s="118"/>
      <c r="MT136" s="118"/>
      <c r="MU136" s="118"/>
      <c r="MV136" s="118"/>
      <c r="NA136" s="118"/>
      <c r="NB136" s="118"/>
      <c r="NC136" s="118"/>
      <c r="ND136" s="118"/>
      <c r="NE136" s="118"/>
      <c r="NF136" s="118"/>
      <c r="NG136" s="118"/>
      <c r="NH136" s="118"/>
      <c r="NI136" s="118"/>
      <c r="NJ136" s="118"/>
      <c r="NV136" s="82"/>
      <c r="NY136" s="69"/>
      <c r="OC136" s="116"/>
      <c r="OD136" s="116"/>
      <c r="OE136" s="116"/>
      <c r="OF136" s="116"/>
      <c r="OG136" s="116"/>
      <c r="OH136" s="116"/>
      <c r="OI136" s="116"/>
      <c r="OJ136" s="116"/>
      <c r="OK136" s="116"/>
      <c r="OL136" s="116"/>
      <c r="OM136" s="116"/>
      <c r="ON136" s="116"/>
      <c r="OO136" s="116"/>
      <c r="OP136" s="116"/>
      <c r="OQ136" s="118"/>
      <c r="OR136" s="118"/>
      <c r="OS136" s="118"/>
      <c r="OT136" s="118"/>
      <c r="OU136" s="118"/>
      <c r="OV136" s="118"/>
      <c r="OW136" s="118"/>
      <c r="OX136" s="118"/>
      <c r="OY136" s="118"/>
      <c r="OZ136" s="118"/>
      <c r="PA136" s="118"/>
      <c r="PB136" s="118"/>
      <c r="PC136" s="118"/>
      <c r="PD136" s="118"/>
      <c r="PE136" s="118"/>
      <c r="PJ136" s="118"/>
      <c r="PK136" s="118"/>
      <c r="PL136" s="118"/>
      <c r="PM136" s="118"/>
      <c r="PN136" s="118"/>
      <c r="PO136" s="118"/>
      <c r="PP136" s="118"/>
      <c r="PQ136" s="118"/>
      <c r="PR136" s="118"/>
      <c r="PS136" s="118"/>
      <c r="QE136" s="82"/>
      <c r="QH136" s="69"/>
      <c r="QL136" s="116"/>
      <c r="QM136" s="116"/>
      <c r="QN136" s="116"/>
      <c r="QO136" s="116"/>
      <c r="QP136" s="116"/>
      <c r="QQ136" s="116"/>
      <c r="QR136" s="116"/>
      <c r="QS136" s="116"/>
      <c r="QT136" s="116"/>
      <c r="QU136" s="116"/>
      <c r="QV136" s="116"/>
      <c r="QW136" s="116"/>
      <c r="QX136" s="116"/>
      <c r="QY136" s="116"/>
      <c r="QZ136" s="118"/>
      <c r="RA136" s="118"/>
      <c r="RB136" s="118"/>
      <c r="RC136" s="118"/>
      <c r="RD136" s="118"/>
      <c r="RE136" s="118"/>
      <c r="RF136" s="118"/>
      <c r="RG136" s="118"/>
      <c r="RH136" s="118"/>
      <c r="RI136" s="118"/>
      <c r="RJ136" s="118"/>
      <c r="RK136" s="118"/>
      <c r="RL136" s="118"/>
      <c r="RM136" s="118"/>
      <c r="RN136" s="118"/>
      <c r="RS136" s="118"/>
      <c r="RT136" s="118"/>
      <c r="RU136" s="118"/>
      <c r="RV136" s="118"/>
      <c r="RW136" s="118"/>
      <c r="RX136" s="118"/>
      <c r="RY136" s="118"/>
      <c r="RZ136" s="118"/>
      <c r="SA136" s="118"/>
      <c r="SB136" s="118"/>
      <c r="SN136" s="82"/>
      <c r="SQ136" s="69"/>
      <c r="SU136" s="116"/>
      <c r="SV136" s="116"/>
      <c r="SW136" s="116"/>
      <c r="SX136" s="116"/>
      <c r="SY136" s="116"/>
      <c r="SZ136" s="116"/>
      <c r="TA136" s="116"/>
      <c r="TB136" s="116"/>
      <c r="TC136" s="116"/>
      <c r="TD136" s="116"/>
      <c r="TE136" s="116"/>
      <c r="TF136" s="116"/>
      <c r="TG136" s="116"/>
      <c r="TH136" s="116"/>
      <c r="TI136" s="118"/>
      <c r="TJ136" s="118"/>
      <c r="TK136" s="118"/>
      <c r="TL136" s="118"/>
      <c r="TM136" s="118"/>
      <c r="TN136" s="118"/>
      <c r="TO136" s="118"/>
      <c r="TP136" s="118"/>
      <c r="TQ136" s="118"/>
      <c r="TR136" s="118"/>
      <c r="TS136" s="118"/>
      <c r="TT136" s="118"/>
      <c r="TU136" s="118"/>
      <c r="TV136" s="118"/>
      <c r="TW136" s="118"/>
      <c r="UB136" s="118"/>
      <c r="UC136" s="118"/>
      <c r="UD136" s="118"/>
      <c r="UE136" s="118"/>
      <c r="UF136" s="118"/>
      <c r="UG136" s="118"/>
      <c r="UH136" s="118"/>
      <c r="UI136" s="118"/>
      <c r="UJ136" s="118"/>
      <c r="UK136" s="118"/>
      <c r="UW136" s="82"/>
      <c r="UZ136" s="69"/>
      <c r="VD136" s="116"/>
      <c r="VE136" s="116"/>
      <c r="VF136" s="116"/>
      <c r="VG136" s="116"/>
      <c r="VH136" s="116"/>
      <c r="VI136" s="116"/>
      <c r="VJ136" s="116"/>
      <c r="VK136" s="116"/>
      <c r="VL136" s="116"/>
      <c r="VM136" s="116"/>
      <c r="VN136" s="116"/>
      <c r="VO136" s="116"/>
      <c r="VP136" s="116"/>
      <c r="VQ136" s="116"/>
      <c r="VR136" s="118"/>
      <c r="VS136" s="118"/>
      <c r="VT136" s="118"/>
      <c r="VU136" s="118"/>
      <c r="VV136" s="118"/>
      <c r="VW136" s="118"/>
      <c r="VX136" s="118"/>
      <c r="VY136" s="118"/>
      <c r="VZ136" s="118"/>
      <c r="WA136" s="118"/>
      <c r="WB136" s="118"/>
      <c r="WC136" s="118"/>
      <c r="WD136" s="118"/>
      <c r="WE136" s="118"/>
      <c r="WF136" s="118"/>
      <c r="WK136" s="118"/>
      <c r="WL136" s="118"/>
      <c r="WM136" s="118"/>
      <c r="WN136" s="118"/>
      <c r="WO136" s="118"/>
      <c r="WP136" s="118"/>
      <c r="WQ136" s="118"/>
      <c r="WR136" s="118"/>
      <c r="WS136" s="118"/>
      <c r="WT136" s="118"/>
      <c r="XF136" s="82"/>
      <c r="XI136" s="69"/>
      <c r="XM136" s="116"/>
      <c r="XN136" s="116"/>
      <c r="XO136" s="116"/>
      <c r="XP136" s="116"/>
      <c r="XQ136" s="116"/>
      <c r="XR136" s="116"/>
      <c r="XS136" s="116"/>
      <c r="XT136" s="116"/>
      <c r="XU136" s="116"/>
      <c r="XV136" s="116"/>
      <c r="XW136" s="116"/>
      <c r="XX136" s="116"/>
      <c r="XY136" s="116"/>
      <c r="XZ136" s="116"/>
      <c r="YA136" s="118"/>
      <c r="YB136" s="118"/>
      <c r="YC136" s="118"/>
      <c r="YD136" s="118"/>
      <c r="YE136" s="118"/>
      <c r="YF136" s="118"/>
      <c r="YG136" s="118"/>
      <c r="YH136" s="118"/>
      <c r="YI136" s="118"/>
      <c r="YJ136" s="118"/>
      <c r="YK136" s="118"/>
      <c r="YL136" s="118"/>
      <c r="YM136" s="118"/>
      <c r="YN136" s="118"/>
      <c r="YO136" s="118"/>
      <c r="YT136" s="118"/>
      <c r="YU136" s="118"/>
      <c r="YV136" s="118"/>
      <c r="YW136" s="118"/>
      <c r="YX136" s="118"/>
      <c r="YY136" s="118"/>
      <c r="YZ136" s="118"/>
      <c r="ZA136" s="118"/>
      <c r="ZB136" s="118"/>
      <c r="ZC136" s="118"/>
      <c r="ZO136" s="82"/>
      <c r="ZR136" s="69"/>
      <c r="ZV136" s="116"/>
      <c r="ZW136" s="116"/>
      <c r="ZX136" s="116"/>
      <c r="ZY136" s="116"/>
      <c r="ZZ136" s="116"/>
      <c r="AAA136" s="116"/>
      <c r="AAB136" s="116"/>
      <c r="AAC136" s="116"/>
      <c r="AAD136" s="116"/>
      <c r="AAE136" s="116"/>
      <c r="AAF136" s="116"/>
      <c r="AAG136" s="116"/>
      <c r="AAH136" s="116"/>
      <c r="AAI136" s="116"/>
      <c r="AAJ136" s="118"/>
      <c r="AAK136" s="118"/>
      <c r="AAL136" s="118"/>
      <c r="AAM136" s="118"/>
      <c r="AAN136" s="118"/>
      <c r="AAO136" s="118"/>
      <c r="AAP136" s="118"/>
      <c r="AAQ136" s="118"/>
      <c r="AAR136" s="118"/>
      <c r="AAS136" s="118"/>
      <c r="AAT136" s="118"/>
      <c r="AAU136" s="118"/>
      <c r="AAV136" s="118"/>
      <c r="AAW136" s="118"/>
      <c r="AAX136" s="118"/>
      <c r="ABC136" s="118"/>
      <c r="ABD136" s="118"/>
      <c r="ABE136" s="118"/>
      <c r="ABF136" s="118"/>
      <c r="ABG136" s="118"/>
      <c r="ABH136" s="118"/>
      <c r="ABI136" s="118"/>
      <c r="ABJ136" s="118"/>
      <c r="ABK136" s="118"/>
      <c r="ABL136" s="118"/>
      <c r="ABX136" s="82"/>
      <c r="ACA136" s="69"/>
      <c r="ACE136" s="116"/>
      <c r="ACF136" s="116"/>
      <c r="ACG136" s="116"/>
      <c r="ACH136" s="116"/>
      <c r="ACI136" s="116"/>
      <c r="ACJ136" s="116"/>
      <c r="ACK136" s="116"/>
      <c r="ACL136" s="116"/>
      <c r="ACM136" s="116"/>
      <c r="ACN136" s="116"/>
      <c r="ACO136" s="116"/>
      <c r="ACP136" s="116"/>
      <c r="ACQ136" s="116"/>
      <c r="ACR136" s="116"/>
      <c r="ACS136" s="118"/>
      <c r="ACT136" s="118"/>
      <c r="ACU136" s="118"/>
      <c r="ACV136" s="118"/>
      <c r="ACW136" s="118"/>
      <c r="ACX136" s="118"/>
      <c r="ACY136" s="118"/>
      <c r="ACZ136" s="118"/>
      <c r="ADA136" s="118"/>
      <c r="ADB136" s="118"/>
      <c r="ADC136" s="118"/>
      <c r="ADD136" s="118"/>
      <c r="ADE136" s="118"/>
      <c r="ADF136" s="118"/>
      <c r="ADG136" s="118"/>
      <c r="ADL136" s="118"/>
      <c r="ADM136" s="118"/>
      <c r="ADN136" s="118"/>
      <c r="ADO136" s="118"/>
      <c r="ADP136" s="118"/>
      <c r="ADQ136" s="118"/>
      <c r="ADR136" s="118"/>
      <c r="ADS136" s="118"/>
      <c r="ADT136" s="118"/>
      <c r="ADU136" s="118"/>
      <c r="AEG136" s="82"/>
      <c r="AEJ136" s="69"/>
      <c r="AEN136" s="116"/>
      <c r="AEO136" s="116"/>
      <c r="AEP136" s="116"/>
      <c r="AEQ136" s="116"/>
      <c r="AER136" s="116"/>
      <c r="AES136" s="116"/>
      <c r="AET136" s="116"/>
      <c r="AEU136" s="116"/>
      <c r="AEV136" s="116"/>
      <c r="AEW136" s="116"/>
      <c r="AEX136" s="116"/>
      <c r="AEY136" s="116"/>
      <c r="AEZ136" s="116"/>
      <c r="AFA136" s="116"/>
      <c r="AFB136" s="118"/>
      <c r="AFC136" s="118"/>
      <c r="AFD136" s="118"/>
      <c r="AFE136" s="118"/>
      <c r="AFF136" s="118"/>
      <c r="AFG136" s="118"/>
      <c r="AFH136" s="118"/>
      <c r="AFI136" s="118"/>
      <c r="AFJ136" s="118"/>
      <c r="AFK136" s="118"/>
      <c r="AFL136" s="118"/>
      <c r="AFM136" s="118"/>
      <c r="AFN136" s="118"/>
      <c r="AFO136" s="118"/>
      <c r="AFP136" s="118"/>
      <c r="AFU136" s="118"/>
      <c r="AFV136" s="118"/>
      <c r="AFW136" s="118"/>
      <c r="AFX136" s="118"/>
      <c r="AFY136" s="118"/>
      <c r="AFZ136" s="118"/>
      <c r="AGA136" s="118"/>
      <c r="AGB136" s="118"/>
      <c r="AGC136" s="118"/>
      <c r="AGD136" s="118"/>
      <c r="AGP136" s="82"/>
      <c r="AGS136" s="69"/>
      <c r="AGW136" s="116"/>
      <c r="AGX136" s="116"/>
      <c r="AGY136" s="116"/>
      <c r="AGZ136" s="116"/>
      <c r="AHA136" s="116"/>
      <c r="AHB136" s="116"/>
      <c r="AHC136" s="116"/>
      <c r="AHD136" s="116"/>
      <c r="AHE136" s="116"/>
      <c r="AHF136" s="116"/>
      <c r="AHG136" s="116"/>
      <c r="AHH136" s="116"/>
      <c r="AHI136" s="116"/>
      <c r="AHJ136" s="116"/>
      <c r="AHK136" s="118"/>
      <c r="AHL136" s="118"/>
      <c r="AHM136" s="118"/>
      <c r="AHN136" s="118"/>
      <c r="AHO136" s="118"/>
      <c r="AHP136" s="118"/>
      <c r="AHQ136" s="118"/>
      <c r="AHR136" s="118"/>
      <c r="AHS136" s="118"/>
      <c r="AHT136" s="118"/>
      <c r="AHU136" s="118"/>
      <c r="AHV136" s="118"/>
      <c r="AHW136" s="118"/>
      <c r="AHX136" s="118"/>
      <c r="AHY136" s="118"/>
      <c r="AID136" s="118"/>
      <c r="AIE136" s="118"/>
      <c r="AIF136" s="118"/>
      <c r="AIG136" s="118"/>
      <c r="AIH136" s="118"/>
      <c r="AII136" s="118"/>
      <c r="AIJ136" s="118"/>
      <c r="AIK136" s="118"/>
      <c r="AIL136" s="118"/>
      <c r="AIM136" s="118"/>
      <c r="AIY136" s="82"/>
      <c r="AJB136" s="69"/>
      <c r="AJF136" s="116"/>
      <c r="AJG136" s="116"/>
      <c r="AJH136" s="116"/>
      <c r="AJI136" s="116"/>
      <c r="AJJ136" s="116"/>
      <c r="AJK136" s="116"/>
      <c r="AJL136" s="116"/>
      <c r="AJM136" s="116"/>
      <c r="AJN136" s="116"/>
      <c r="AJO136" s="116"/>
      <c r="AJP136" s="116"/>
      <c r="AJQ136" s="116"/>
      <c r="AJR136" s="116"/>
      <c r="AJS136" s="116"/>
      <c r="AJT136" s="118"/>
      <c r="AJU136" s="118"/>
      <c r="AJV136" s="118"/>
      <c r="AJW136" s="118"/>
      <c r="AJX136" s="118"/>
      <c r="AJY136" s="118"/>
      <c r="AJZ136" s="118"/>
      <c r="AKA136" s="118"/>
      <c r="AKB136" s="118"/>
      <c r="AKC136" s="118"/>
      <c r="AKD136" s="118"/>
      <c r="AKE136" s="118"/>
      <c r="AKF136" s="118"/>
      <c r="AKG136" s="118"/>
      <c r="AKH136" s="118"/>
      <c r="AKM136" s="118"/>
      <c r="AKN136" s="118"/>
      <c r="AKO136" s="118"/>
      <c r="AKP136" s="118"/>
      <c r="AKQ136" s="118"/>
      <c r="AKR136" s="118"/>
      <c r="AKS136" s="118"/>
      <c r="AKT136" s="118"/>
      <c r="AKU136" s="118"/>
      <c r="AKV136" s="118"/>
      <c r="ALH136" s="82"/>
      <c r="ALK136" s="69"/>
      <c r="ALO136" s="116"/>
      <c r="ALP136" s="116"/>
      <c r="ALQ136" s="116"/>
      <c r="ALR136" s="116"/>
      <c r="ALS136" s="116"/>
      <c r="ALT136" s="116"/>
      <c r="ALU136" s="116"/>
      <c r="ALV136" s="116"/>
      <c r="ALW136" s="116"/>
      <c r="ALX136" s="116"/>
      <c r="ALY136" s="116"/>
      <c r="ALZ136" s="116"/>
      <c r="AMA136" s="116"/>
      <c r="AMB136" s="116"/>
      <c r="AMC136" s="118"/>
      <c r="AMD136" s="118"/>
      <c r="AME136" s="118"/>
      <c r="AMF136" s="118"/>
      <c r="AMG136" s="118"/>
      <c r="AMH136" s="118"/>
      <c r="AMI136" s="118"/>
      <c r="AMJ136" s="118"/>
      <c r="AMK136" s="118"/>
      <c r="AML136" s="118"/>
      <c r="AMM136" s="118"/>
      <c r="AMN136" s="118"/>
      <c r="AMO136" s="118"/>
      <c r="AMP136" s="118"/>
      <c r="AMQ136" s="118"/>
      <c r="AMV136" s="118"/>
      <c r="AMW136" s="118"/>
      <c r="AMX136" s="118"/>
      <c r="AMY136" s="118"/>
      <c r="AMZ136" s="118"/>
      <c r="ANA136" s="118"/>
      <c r="ANB136" s="118"/>
      <c r="ANC136" s="118"/>
      <c r="AND136" s="118"/>
      <c r="ANE136" s="118"/>
      <c r="ANQ136" s="82"/>
      <c r="ANT136" s="69"/>
      <c r="ANX136" s="116"/>
      <c r="ANY136" s="116"/>
      <c r="ANZ136" s="116"/>
      <c r="AOA136" s="116"/>
      <c r="AOB136" s="116"/>
      <c r="AOC136" s="116"/>
      <c r="AOD136" s="116"/>
      <c r="AOE136" s="116"/>
      <c r="AOF136" s="116"/>
      <c r="AOG136" s="116"/>
      <c r="AOH136" s="116"/>
      <c r="AOI136" s="116"/>
      <c r="AOJ136" s="116"/>
      <c r="AOK136" s="116"/>
      <c r="AOL136" s="118"/>
      <c r="AOM136" s="118"/>
      <c r="AON136" s="118"/>
      <c r="AOO136" s="118"/>
      <c r="AOP136" s="118"/>
      <c r="AOQ136" s="118"/>
      <c r="AOR136" s="118"/>
      <c r="AOS136" s="118"/>
      <c r="AOT136" s="118"/>
      <c r="AOU136" s="118"/>
      <c r="AOV136" s="118"/>
      <c r="AOW136" s="118"/>
      <c r="AOX136" s="118"/>
      <c r="AOY136" s="118"/>
      <c r="AOZ136" s="118"/>
      <c r="APE136" s="118"/>
      <c r="APF136" s="118"/>
      <c r="APG136" s="118"/>
      <c r="APH136" s="118"/>
      <c r="API136" s="118"/>
      <c r="APJ136" s="118"/>
      <c r="APK136" s="118"/>
      <c r="APL136" s="118"/>
      <c r="APM136" s="118"/>
      <c r="APN136" s="118"/>
      <c r="APZ136" s="82"/>
      <c r="AQC136" s="69"/>
      <c r="AQG136" s="116"/>
      <c r="AQH136" s="116"/>
      <c r="AQI136" s="116"/>
      <c r="AQJ136" s="116"/>
      <c r="AQK136" s="116"/>
      <c r="AQL136" s="116"/>
      <c r="AQM136" s="116"/>
      <c r="AQN136" s="116"/>
      <c r="AQO136" s="116"/>
      <c r="AQP136" s="116"/>
      <c r="AQQ136" s="116"/>
      <c r="AQR136" s="116"/>
      <c r="AQS136" s="116"/>
      <c r="AQT136" s="116"/>
      <c r="AQU136" s="118"/>
      <c r="AQV136" s="118"/>
      <c r="AQW136" s="118"/>
      <c r="AQX136" s="118"/>
      <c r="AQY136" s="118"/>
      <c r="AQZ136" s="118"/>
      <c r="ARA136" s="118"/>
      <c r="ARB136" s="118"/>
      <c r="ARC136" s="118"/>
      <c r="ARD136" s="118"/>
      <c r="ARE136" s="118"/>
      <c r="ARF136" s="118"/>
      <c r="ARG136" s="118"/>
      <c r="ARH136" s="118"/>
      <c r="ARI136" s="118"/>
      <c r="ARN136" s="118"/>
      <c r="ARO136" s="118"/>
      <c r="ARP136" s="118"/>
      <c r="ARQ136" s="118"/>
      <c r="ARR136" s="118"/>
      <c r="ARS136" s="118"/>
      <c r="ART136" s="118"/>
      <c r="ARU136" s="118"/>
      <c r="ARV136" s="118"/>
      <c r="ARW136" s="118"/>
      <c r="ASI136" s="82"/>
      <c r="ASL136" s="69"/>
      <c r="ASP136" s="116"/>
      <c r="ASQ136" s="116"/>
      <c r="ASR136" s="116"/>
      <c r="ASS136" s="116"/>
      <c r="AST136" s="116"/>
      <c r="ASU136" s="116"/>
      <c r="ASV136" s="116"/>
      <c r="ASW136" s="116"/>
      <c r="ASX136" s="116"/>
      <c r="ASY136" s="116"/>
      <c r="ASZ136" s="116"/>
      <c r="ATA136" s="116"/>
      <c r="ATB136" s="116"/>
      <c r="ATC136" s="116"/>
      <c r="ATD136" s="118"/>
      <c r="ATE136" s="118"/>
      <c r="ATF136" s="118"/>
      <c r="ATG136" s="118"/>
      <c r="ATH136" s="118"/>
      <c r="ATI136" s="118"/>
      <c r="ATJ136" s="118"/>
      <c r="ATK136" s="118"/>
      <c r="ATL136" s="118"/>
      <c r="ATM136" s="118"/>
      <c r="ATN136" s="118"/>
      <c r="ATO136" s="118"/>
      <c r="ATP136" s="118"/>
      <c r="ATQ136" s="118"/>
      <c r="ATR136" s="118"/>
      <c r="ATW136" s="118"/>
      <c r="ATX136" s="118"/>
      <c r="ATY136" s="118"/>
      <c r="ATZ136" s="118"/>
      <c r="AUA136" s="118"/>
      <c r="AUB136" s="118"/>
      <c r="AUC136" s="118"/>
      <c r="AUD136" s="118"/>
      <c r="AUE136" s="118"/>
      <c r="AUF136" s="118"/>
      <c r="AUR136" s="82"/>
      <c r="AUU136" s="69"/>
      <c r="AUY136" s="116"/>
      <c r="AUZ136" s="116"/>
      <c r="AVA136" s="116"/>
      <c r="AVB136" s="116"/>
      <c r="AVC136" s="116"/>
      <c r="AVD136" s="116"/>
      <c r="AVE136" s="116"/>
      <c r="AVF136" s="116"/>
      <c r="AVG136" s="116"/>
      <c r="AVH136" s="116"/>
      <c r="AVI136" s="116"/>
      <c r="AVJ136" s="116"/>
      <c r="AVK136" s="116"/>
      <c r="AVL136" s="116"/>
      <c r="AVM136" s="118"/>
      <c r="AVN136" s="118"/>
      <c r="AVO136" s="118"/>
      <c r="AVP136" s="118"/>
      <c r="AVQ136" s="118"/>
      <c r="AVR136" s="118"/>
      <c r="AVS136" s="118"/>
      <c r="AVT136" s="118"/>
      <c r="AVU136" s="118"/>
      <c r="AVV136" s="118"/>
      <c r="AVW136" s="118"/>
      <c r="AVX136" s="118"/>
      <c r="AVY136" s="118"/>
      <c r="AVZ136" s="118"/>
      <c r="AWA136" s="118"/>
      <c r="AWF136" s="118"/>
      <c r="AWG136" s="118"/>
      <c r="AWH136" s="118"/>
      <c r="AWI136" s="118"/>
      <c r="AWJ136" s="118"/>
      <c r="AWK136" s="118"/>
      <c r="AWL136" s="118"/>
      <c r="AWM136" s="118"/>
      <c r="AWN136" s="118"/>
      <c r="AWO136" s="118"/>
      <c r="AXA136" s="82"/>
      <c r="AXD136" s="69"/>
      <c r="AXH136" s="116"/>
      <c r="AXI136" s="116"/>
      <c r="AXJ136" s="116"/>
      <c r="AXK136" s="116"/>
      <c r="AXL136" s="116"/>
      <c r="AXM136" s="116"/>
      <c r="AXN136" s="116"/>
      <c r="AXO136" s="116"/>
      <c r="AXP136" s="116"/>
      <c r="AXQ136" s="116"/>
      <c r="AXR136" s="116"/>
      <c r="AXS136" s="116"/>
      <c r="AXT136" s="116"/>
      <c r="AXU136" s="116"/>
      <c r="AXV136" s="118"/>
      <c r="AXW136" s="118"/>
      <c r="AXX136" s="118"/>
      <c r="AXY136" s="118"/>
      <c r="AXZ136" s="118"/>
      <c r="AYA136" s="118"/>
      <c r="AYB136" s="118"/>
      <c r="AYC136" s="118"/>
      <c r="AYD136" s="118"/>
      <c r="AYE136" s="118"/>
      <c r="AYF136" s="118"/>
      <c r="AYG136" s="118"/>
      <c r="AYH136" s="118"/>
      <c r="AYI136" s="118"/>
      <c r="AYJ136" s="118"/>
      <c r="AYO136" s="118"/>
      <c r="AYP136" s="118"/>
      <c r="AYQ136" s="118"/>
      <c r="AYR136" s="118"/>
      <c r="AYS136" s="118"/>
      <c r="AYT136" s="118"/>
      <c r="AYU136" s="118"/>
      <c r="AYV136" s="118"/>
      <c r="AYW136" s="118"/>
      <c r="AYX136" s="118"/>
      <c r="AZJ136" s="82"/>
      <c r="AZM136" s="69"/>
      <c r="AZQ136" s="116"/>
      <c r="AZR136" s="116"/>
      <c r="AZS136" s="116"/>
      <c r="AZT136" s="116"/>
      <c r="AZU136" s="116"/>
      <c r="AZV136" s="116"/>
      <c r="AZW136" s="116"/>
      <c r="AZX136" s="116"/>
      <c r="AZY136" s="116"/>
      <c r="AZZ136" s="116"/>
      <c r="BAA136" s="116"/>
      <c r="BAB136" s="116"/>
      <c r="BAC136" s="116"/>
      <c r="BAD136" s="116"/>
      <c r="BAE136" s="118"/>
      <c r="BAF136" s="118"/>
      <c r="BAG136" s="118"/>
      <c r="BAH136" s="118"/>
      <c r="BAI136" s="118"/>
      <c r="BAJ136" s="118"/>
      <c r="BAK136" s="118"/>
      <c r="BAL136" s="118"/>
      <c r="BAM136" s="118"/>
      <c r="BAN136" s="118"/>
      <c r="BAO136" s="118"/>
      <c r="BAP136" s="118"/>
      <c r="BAQ136" s="118"/>
      <c r="BAR136" s="118"/>
      <c r="BAS136" s="118"/>
      <c r="BAX136" s="118"/>
      <c r="BAY136" s="118"/>
      <c r="BAZ136" s="118"/>
      <c r="BBA136" s="118"/>
      <c r="BBB136" s="118"/>
      <c r="BBC136" s="118"/>
      <c r="BBD136" s="118"/>
      <c r="BBE136" s="118"/>
      <c r="BBF136" s="118"/>
      <c r="BBG136" s="118"/>
      <c r="BBS136" s="82"/>
      <c r="BBV136" s="69"/>
      <c r="BBZ136" s="116"/>
      <c r="BCA136" s="116"/>
      <c r="BCB136" s="116"/>
      <c r="BCC136" s="116"/>
      <c r="BCD136" s="116"/>
      <c r="BCE136" s="116"/>
      <c r="BCF136" s="116"/>
      <c r="BCG136" s="116"/>
      <c r="BCH136" s="116"/>
      <c r="BCI136" s="116"/>
      <c r="BCJ136" s="116"/>
      <c r="BCK136" s="116"/>
      <c r="BCL136" s="116"/>
      <c r="BCM136" s="116"/>
      <c r="BCN136" s="118"/>
      <c r="BCO136" s="118"/>
      <c r="BCP136" s="118"/>
      <c r="BCQ136" s="118"/>
      <c r="BCR136" s="118"/>
      <c r="BCS136" s="118"/>
      <c r="BCT136" s="118"/>
      <c r="BCU136" s="118"/>
      <c r="BCV136" s="118"/>
      <c r="BCW136" s="118"/>
      <c r="BCX136" s="118"/>
      <c r="BCY136" s="118"/>
      <c r="BCZ136" s="118"/>
      <c r="BDA136" s="118"/>
      <c r="BDB136" s="118"/>
      <c r="BDG136" s="118"/>
      <c r="BDH136" s="118"/>
      <c r="BDI136" s="118"/>
      <c r="BDJ136" s="118"/>
      <c r="BDK136" s="118"/>
      <c r="BDL136" s="118"/>
      <c r="BDM136" s="118"/>
      <c r="BDN136" s="118"/>
      <c r="BDO136" s="118"/>
      <c r="BDP136" s="118"/>
      <c r="BEB136" s="82"/>
      <c r="BEE136" s="69"/>
      <c r="BEI136" s="116"/>
      <c r="BEJ136" s="116"/>
      <c r="BEK136" s="116"/>
      <c r="BEL136" s="116"/>
      <c r="BEM136" s="116"/>
      <c r="BEN136" s="116"/>
      <c r="BEO136" s="116"/>
      <c r="BEP136" s="116"/>
      <c r="BEQ136" s="116"/>
      <c r="BER136" s="116"/>
      <c r="BES136" s="116"/>
      <c r="BET136" s="116"/>
      <c r="BEU136" s="116"/>
      <c r="BEV136" s="116"/>
      <c r="BEW136" s="118"/>
      <c r="BEX136" s="118"/>
      <c r="BEY136" s="118"/>
      <c r="BEZ136" s="118"/>
      <c r="BFA136" s="118"/>
      <c r="BFB136" s="118"/>
      <c r="BFC136" s="118"/>
      <c r="BFD136" s="118"/>
      <c r="BFE136" s="118"/>
      <c r="BFF136" s="118"/>
      <c r="BFG136" s="118"/>
      <c r="BFH136" s="118"/>
      <c r="BFI136" s="118"/>
      <c r="BFJ136" s="118"/>
      <c r="BFK136" s="118"/>
      <c r="BFP136" s="118"/>
      <c r="BFQ136" s="118"/>
      <c r="BFR136" s="118"/>
      <c r="BFS136" s="118"/>
      <c r="BFT136" s="118"/>
      <c r="BFU136" s="118"/>
      <c r="BFV136" s="118"/>
      <c r="BFW136" s="118"/>
      <c r="BFX136" s="118"/>
      <c r="BFY136" s="118"/>
      <c r="BGK136" s="82"/>
      <c r="BGN136" s="69"/>
      <c r="BGR136" s="116"/>
      <c r="BGS136" s="116"/>
      <c r="BGT136" s="116"/>
      <c r="BGU136" s="116"/>
      <c r="BGV136" s="116"/>
      <c r="BGW136" s="116"/>
      <c r="BGX136" s="116"/>
      <c r="BGY136" s="116"/>
      <c r="BGZ136" s="116"/>
      <c r="BHA136" s="116"/>
      <c r="BHB136" s="116"/>
      <c r="BHC136" s="116"/>
      <c r="BHD136" s="116"/>
      <c r="BHE136" s="116"/>
      <c r="BHF136" s="118"/>
      <c r="BHG136" s="118"/>
      <c r="BHH136" s="118"/>
      <c r="BHI136" s="118"/>
      <c r="BHJ136" s="118"/>
      <c r="BHK136" s="118"/>
      <c r="BHL136" s="118"/>
      <c r="BHM136" s="118"/>
      <c r="BHN136" s="118"/>
      <c r="BHO136" s="118"/>
      <c r="BHP136" s="118"/>
      <c r="BHQ136" s="118"/>
      <c r="BHR136" s="118"/>
      <c r="BHS136" s="118"/>
      <c r="BHT136" s="118"/>
      <c r="BHY136" s="118"/>
      <c r="BHZ136" s="118"/>
      <c r="BIA136" s="118"/>
      <c r="BIB136" s="118"/>
      <c r="BIC136" s="118"/>
      <c r="BID136" s="118"/>
      <c r="BIE136" s="118"/>
      <c r="BIF136" s="118"/>
      <c r="BIG136" s="118"/>
      <c r="BIH136" s="118"/>
      <c r="BIT136" s="82"/>
      <c r="BIW136" s="69"/>
      <c r="BJA136" s="116"/>
      <c r="BJB136" s="116"/>
      <c r="BJC136" s="116"/>
      <c r="BJD136" s="116"/>
      <c r="BJE136" s="116"/>
      <c r="BJF136" s="116"/>
      <c r="BJG136" s="116"/>
      <c r="BJH136" s="116"/>
      <c r="BJI136" s="116"/>
      <c r="BJJ136" s="116"/>
      <c r="BJK136" s="116"/>
      <c r="BJL136" s="116"/>
      <c r="BJM136" s="116"/>
      <c r="BJN136" s="116"/>
      <c r="BJO136" s="118"/>
      <c r="BJP136" s="118"/>
      <c r="BJQ136" s="118"/>
      <c r="BJR136" s="118"/>
      <c r="BJS136" s="118"/>
      <c r="BJT136" s="118"/>
      <c r="BJU136" s="118"/>
      <c r="BJV136" s="118"/>
      <c r="BJW136" s="118"/>
      <c r="BJX136" s="118"/>
      <c r="BJY136" s="118"/>
      <c r="BJZ136" s="118"/>
      <c r="BKA136" s="118"/>
      <c r="BKB136" s="118"/>
      <c r="BKC136" s="118"/>
      <c r="BKH136" s="118"/>
      <c r="BKI136" s="118"/>
      <c r="BKJ136" s="118"/>
      <c r="BKK136" s="118"/>
      <c r="BKL136" s="118"/>
      <c r="BKM136" s="118"/>
      <c r="BKN136" s="118"/>
      <c r="BKO136" s="118"/>
      <c r="BKP136" s="118"/>
      <c r="BKQ136" s="118"/>
      <c r="BLC136" s="82"/>
      <c r="BLF136" s="69"/>
      <c r="BLJ136" s="116"/>
      <c r="BLK136" s="116"/>
      <c r="BLL136" s="116"/>
      <c r="BLM136" s="116"/>
      <c r="BLN136" s="116"/>
      <c r="BLO136" s="116"/>
      <c r="BLP136" s="116"/>
      <c r="BLQ136" s="116"/>
      <c r="BLR136" s="116"/>
      <c r="BLS136" s="116"/>
      <c r="BLT136" s="116"/>
      <c r="BLU136" s="116"/>
      <c r="BLV136" s="116"/>
      <c r="BLW136" s="116"/>
      <c r="BLX136" s="118"/>
      <c r="BLY136" s="118"/>
      <c r="BLZ136" s="118"/>
      <c r="BMA136" s="118"/>
      <c r="BMB136" s="118"/>
      <c r="BMC136" s="118"/>
      <c r="BMD136" s="118"/>
      <c r="BME136" s="118"/>
      <c r="BMF136" s="118"/>
      <c r="BMG136" s="118"/>
      <c r="BMH136" s="118"/>
      <c r="BMI136" s="118"/>
      <c r="BMJ136" s="118"/>
      <c r="BMK136" s="118"/>
      <c r="BML136" s="118"/>
      <c r="BMQ136" s="118"/>
      <c r="BMR136" s="118"/>
      <c r="BMS136" s="118"/>
      <c r="BMT136" s="118"/>
      <c r="BMU136" s="118"/>
      <c r="BMV136" s="118"/>
      <c r="BMW136" s="118"/>
      <c r="BMX136" s="118"/>
      <c r="BMY136" s="118"/>
      <c r="BMZ136" s="118"/>
      <c r="BNL136" s="82"/>
      <c r="BNO136" s="69"/>
      <c r="BNS136" s="116"/>
      <c r="BNT136" s="116"/>
      <c r="BNU136" s="116"/>
      <c r="BNV136" s="116"/>
      <c r="BNW136" s="116"/>
      <c r="BNX136" s="116"/>
      <c r="BNY136" s="116"/>
      <c r="BNZ136" s="116"/>
      <c r="BOA136" s="116"/>
      <c r="BOB136" s="116"/>
      <c r="BOC136" s="116"/>
      <c r="BOD136" s="116"/>
      <c r="BOE136" s="116"/>
      <c r="BOF136" s="116"/>
      <c r="BOG136" s="118"/>
      <c r="BOH136" s="118"/>
      <c r="BOI136" s="118"/>
      <c r="BOJ136" s="118"/>
      <c r="BOK136" s="118"/>
      <c r="BOL136" s="118"/>
      <c r="BOM136" s="118"/>
      <c r="BON136" s="118"/>
      <c r="BOO136" s="118"/>
      <c r="BOP136" s="118"/>
      <c r="BOQ136" s="118"/>
      <c r="BOR136" s="118"/>
      <c r="BOS136" s="118"/>
      <c r="BOT136" s="118"/>
      <c r="BOU136" s="118"/>
      <c r="BOZ136" s="118"/>
      <c r="BPA136" s="118"/>
      <c r="BPB136" s="118"/>
      <c r="BPC136" s="118"/>
      <c r="BPD136" s="118"/>
      <c r="BPE136" s="118"/>
      <c r="BPF136" s="118"/>
      <c r="BPG136" s="118"/>
      <c r="BPH136" s="118"/>
      <c r="BPI136" s="118"/>
      <c r="BPU136" s="82"/>
      <c r="BPX136" s="69"/>
      <c r="BQB136" s="116"/>
      <c r="BQC136" s="116"/>
      <c r="BQD136" s="116"/>
      <c r="BQE136" s="116"/>
      <c r="BQF136" s="116"/>
      <c r="BQG136" s="116"/>
      <c r="BQH136" s="116"/>
      <c r="BQI136" s="116"/>
      <c r="BQJ136" s="116"/>
      <c r="BQK136" s="116"/>
      <c r="BQL136" s="116"/>
      <c r="BQM136" s="116"/>
      <c r="BQN136" s="116"/>
      <c r="BQO136" s="116"/>
      <c r="BQP136" s="118"/>
      <c r="BQQ136" s="118"/>
      <c r="BQR136" s="118"/>
      <c r="BQS136" s="118"/>
      <c r="BQT136" s="118"/>
      <c r="BQU136" s="118"/>
      <c r="BQV136" s="118"/>
      <c r="BQW136" s="118"/>
      <c r="BQX136" s="118"/>
      <c r="BQY136" s="118"/>
      <c r="BQZ136" s="118"/>
      <c r="BRA136" s="118"/>
      <c r="BRB136" s="118"/>
      <c r="BRC136" s="118"/>
      <c r="BRD136" s="118"/>
      <c r="BRI136" s="118"/>
      <c r="BRJ136" s="118"/>
      <c r="BRK136" s="118"/>
      <c r="BRL136" s="118"/>
      <c r="BRM136" s="118"/>
      <c r="BRN136" s="118"/>
      <c r="BRO136" s="118"/>
      <c r="BRP136" s="118"/>
      <c r="BRQ136" s="118"/>
      <c r="BRR136" s="118"/>
      <c r="BSD136" s="82"/>
      <c r="BSG136" s="69"/>
      <c r="BSK136" s="116"/>
      <c r="BSL136" s="116"/>
      <c r="BSM136" s="116"/>
      <c r="BSN136" s="116"/>
      <c r="BSO136" s="116"/>
      <c r="BSP136" s="116"/>
      <c r="BSQ136" s="116"/>
      <c r="BSR136" s="116"/>
      <c r="BSS136" s="116"/>
      <c r="BST136" s="116"/>
      <c r="BSU136" s="116"/>
      <c r="BSV136" s="116"/>
      <c r="BSW136" s="116"/>
      <c r="BSX136" s="116"/>
      <c r="BSY136" s="118"/>
      <c r="BSZ136" s="118"/>
      <c r="BTA136" s="118"/>
      <c r="BTB136" s="118"/>
      <c r="BTC136" s="118"/>
      <c r="BTD136" s="118"/>
      <c r="BTE136" s="118"/>
      <c r="BTF136" s="118"/>
      <c r="BTG136" s="118"/>
      <c r="BTH136" s="118"/>
      <c r="BTI136" s="118"/>
      <c r="BTJ136" s="118"/>
      <c r="BTK136" s="118"/>
      <c r="BTL136" s="118"/>
      <c r="BTM136" s="118"/>
      <c r="BTR136" s="118"/>
      <c r="BTS136" s="118"/>
      <c r="BTT136" s="118"/>
      <c r="BTU136" s="118"/>
      <c r="BTV136" s="118"/>
      <c r="BTW136" s="118"/>
      <c r="BTX136" s="118"/>
      <c r="BTY136" s="118"/>
      <c r="BTZ136" s="118"/>
      <c r="BUA136" s="118"/>
      <c r="BUM136" s="82"/>
      <c r="BUP136" s="69"/>
      <c r="BUT136" s="116"/>
      <c r="BUU136" s="116"/>
      <c r="BUV136" s="116"/>
      <c r="BUW136" s="116"/>
      <c r="BUX136" s="116"/>
      <c r="BUY136" s="116"/>
      <c r="BUZ136" s="116"/>
      <c r="BVA136" s="116"/>
      <c r="BVB136" s="116"/>
      <c r="BVC136" s="116"/>
      <c r="BVD136" s="116"/>
      <c r="BVE136" s="116"/>
      <c r="BVF136" s="116"/>
      <c r="BVG136" s="116"/>
      <c r="BVH136" s="118"/>
      <c r="BVI136" s="118"/>
      <c r="BVJ136" s="118"/>
      <c r="BVK136" s="118"/>
      <c r="BVL136" s="118"/>
      <c r="BVM136" s="118"/>
      <c r="BVN136" s="118"/>
      <c r="BVO136" s="118"/>
      <c r="BVP136" s="118"/>
      <c r="BVQ136" s="118"/>
      <c r="BVR136" s="118"/>
      <c r="BVS136" s="118"/>
      <c r="BVT136" s="118"/>
      <c r="BVU136" s="118"/>
      <c r="BVV136" s="118"/>
      <c r="BWA136" s="118"/>
      <c r="BWB136" s="118"/>
      <c r="BWC136" s="118"/>
      <c r="BWD136" s="118"/>
      <c r="BWE136" s="118"/>
      <c r="BWF136" s="118"/>
      <c r="BWG136" s="118"/>
      <c r="BWH136" s="118"/>
      <c r="BWI136" s="118"/>
      <c r="BWJ136" s="118"/>
      <c r="BWV136" s="82"/>
      <c r="BWY136" s="69"/>
      <c r="BXC136" s="116"/>
      <c r="BXD136" s="116"/>
      <c r="BXE136" s="116"/>
      <c r="BXF136" s="116"/>
      <c r="BXG136" s="116"/>
      <c r="BXH136" s="116"/>
      <c r="BXI136" s="116"/>
      <c r="BXJ136" s="116"/>
      <c r="BXK136" s="116"/>
      <c r="BXL136" s="116"/>
      <c r="BXM136" s="116"/>
      <c r="BXN136" s="116"/>
      <c r="BXO136" s="116"/>
      <c r="BXP136" s="116"/>
      <c r="BXQ136" s="118"/>
      <c r="BXR136" s="118"/>
      <c r="BXS136" s="118"/>
      <c r="BXT136" s="118"/>
      <c r="BXU136" s="118"/>
      <c r="BXV136" s="118"/>
      <c r="BXW136" s="118"/>
      <c r="BXX136" s="118"/>
      <c r="BXY136" s="118"/>
      <c r="BXZ136" s="118"/>
      <c r="BYA136" s="118"/>
      <c r="BYB136" s="118"/>
      <c r="BYC136" s="118"/>
      <c r="BYD136" s="118"/>
      <c r="BYE136" s="118"/>
      <c r="BYJ136" s="118"/>
      <c r="BYK136" s="118"/>
      <c r="BYL136" s="118"/>
      <c r="BYM136" s="118"/>
      <c r="BYN136" s="118"/>
      <c r="BYO136" s="118"/>
      <c r="BYP136" s="118"/>
      <c r="BYQ136" s="118"/>
      <c r="BYR136" s="118"/>
      <c r="BYS136" s="118"/>
      <c r="BZE136" s="82"/>
      <c r="BZH136" s="69"/>
      <c r="BZL136" s="116"/>
      <c r="BZM136" s="116"/>
      <c r="BZN136" s="116"/>
      <c r="BZO136" s="116"/>
      <c r="BZP136" s="116"/>
      <c r="BZQ136" s="116"/>
      <c r="BZR136" s="116"/>
      <c r="BZS136" s="116"/>
      <c r="BZT136" s="116"/>
      <c r="BZU136" s="116"/>
      <c r="BZV136" s="116"/>
      <c r="BZW136" s="116"/>
      <c r="BZX136" s="116"/>
      <c r="BZY136" s="116"/>
      <c r="BZZ136" s="118"/>
      <c r="CAA136" s="118"/>
      <c r="CAB136" s="118"/>
      <c r="CAC136" s="118"/>
      <c r="CAD136" s="118"/>
      <c r="CAE136" s="118"/>
      <c r="CAF136" s="118"/>
      <c r="CAG136" s="118"/>
      <c r="CAH136" s="118"/>
      <c r="CAI136" s="118"/>
      <c r="CAJ136" s="118"/>
      <c r="CAK136" s="118"/>
      <c r="CAL136" s="118"/>
      <c r="CAM136" s="118"/>
      <c r="CAN136" s="118"/>
      <c r="CAS136" s="118"/>
      <c r="CAT136" s="118"/>
      <c r="CAU136" s="118"/>
      <c r="CAV136" s="118"/>
      <c r="CAW136" s="118"/>
      <c r="CAX136" s="118"/>
      <c r="CAY136" s="118"/>
      <c r="CAZ136" s="118"/>
      <c r="CBA136" s="118"/>
      <c r="CBB136" s="118"/>
      <c r="CBN136" s="82"/>
      <c r="CBQ136" s="69"/>
      <c r="CBU136" s="116"/>
      <c r="CBV136" s="116"/>
      <c r="CBW136" s="116"/>
      <c r="CBX136" s="116"/>
      <c r="CBY136" s="116"/>
      <c r="CBZ136" s="116"/>
      <c r="CCA136" s="116"/>
      <c r="CCB136" s="116"/>
      <c r="CCC136" s="116"/>
      <c r="CCD136" s="116"/>
      <c r="CCE136" s="116"/>
      <c r="CCF136" s="116"/>
      <c r="CCG136" s="116"/>
      <c r="CCH136" s="116"/>
      <c r="CCI136" s="118"/>
      <c r="CCJ136" s="118"/>
      <c r="CCK136" s="118"/>
      <c r="CCL136" s="118"/>
      <c r="CCM136" s="118"/>
      <c r="CCN136" s="118"/>
      <c r="CCO136" s="118"/>
      <c r="CCP136" s="118"/>
      <c r="CCQ136" s="118"/>
      <c r="CCR136" s="118"/>
      <c r="CCS136" s="118"/>
      <c r="CCT136" s="118"/>
      <c r="CCU136" s="118"/>
      <c r="CCV136" s="118"/>
      <c r="CCW136" s="118"/>
      <c r="CDB136" s="118"/>
      <c r="CDC136" s="118"/>
      <c r="CDD136" s="118"/>
      <c r="CDE136" s="118"/>
      <c r="CDF136" s="118"/>
      <c r="CDG136" s="118"/>
      <c r="CDH136" s="118"/>
      <c r="CDI136" s="118"/>
      <c r="CDJ136" s="118"/>
      <c r="CDK136" s="118"/>
      <c r="CDW136" s="82"/>
      <c r="CDZ136" s="69"/>
      <c r="CED136" s="116"/>
      <c r="CEE136" s="116"/>
      <c r="CEF136" s="116"/>
      <c r="CEG136" s="116"/>
      <c r="CEH136" s="116"/>
      <c r="CEI136" s="116"/>
      <c r="CEJ136" s="116"/>
      <c r="CEK136" s="116"/>
      <c r="CEL136" s="116"/>
      <c r="CEM136" s="116"/>
      <c r="CEN136" s="116"/>
      <c r="CEO136" s="116"/>
      <c r="CEP136" s="116"/>
      <c r="CEQ136" s="116"/>
      <c r="CER136" s="118"/>
      <c r="CES136" s="118"/>
      <c r="CET136" s="118"/>
      <c r="CEU136" s="118"/>
      <c r="CEV136" s="118"/>
      <c r="CEW136" s="118"/>
      <c r="CEX136" s="118"/>
      <c r="CEY136" s="118"/>
      <c r="CEZ136" s="118"/>
      <c r="CFA136" s="118"/>
      <c r="CFB136" s="118"/>
      <c r="CFC136" s="118"/>
      <c r="CFD136" s="118"/>
      <c r="CFE136" s="118"/>
      <c r="CFF136" s="118"/>
      <c r="CFK136" s="118"/>
      <c r="CFL136" s="118"/>
      <c r="CFM136" s="118"/>
      <c r="CFN136" s="118"/>
      <c r="CFO136" s="118"/>
      <c r="CFP136" s="118"/>
      <c r="CFQ136" s="118"/>
      <c r="CFR136" s="118"/>
      <c r="CFS136" s="118"/>
      <c r="CFT136" s="118"/>
      <c r="CGF136" s="82"/>
      <c r="CGI136" s="69"/>
      <c r="CGM136" s="116"/>
      <c r="CGN136" s="116"/>
      <c r="CGO136" s="116"/>
      <c r="CGP136" s="116"/>
      <c r="CGQ136" s="116"/>
      <c r="CGR136" s="116"/>
      <c r="CGS136" s="116"/>
      <c r="CGT136" s="116"/>
      <c r="CGU136" s="116"/>
      <c r="CGV136" s="116"/>
      <c r="CGW136" s="116"/>
      <c r="CGX136" s="116"/>
      <c r="CGY136" s="116"/>
      <c r="CGZ136" s="116"/>
      <c r="CHA136" s="118"/>
      <c r="CHB136" s="118"/>
      <c r="CHC136" s="118"/>
      <c r="CHD136" s="118"/>
      <c r="CHE136" s="118"/>
      <c r="CHF136" s="118"/>
      <c r="CHG136" s="118"/>
      <c r="CHH136" s="118"/>
      <c r="CHI136" s="118"/>
      <c r="CHJ136" s="118"/>
      <c r="CHK136" s="118"/>
      <c r="CHL136" s="118"/>
      <c r="CHM136" s="118"/>
      <c r="CHN136" s="118"/>
      <c r="CHO136" s="118"/>
      <c r="CHT136" s="118"/>
      <c r="CHU136" s="118"/>
      <c r="CHV136" s="118"/>
      <c r="CHW136" s="118"/>
      <c r="CHX136" s="118"/>
      <c r="CHY136" s="118"/>
      <c r="CHZ136" s="118"/>
      <c r="CIA136" s="118"/>
      <c r="CIB136" s="118"/>
      <c r="CIC136" s="118"/>
      <c r="CIO136" s="82"/>
      <c r="CIR136" s="69"/>
      <c r="CIV136" s="116"/>
      <c r="CIW136" s="116"/>
      <c r="CIX136" s="116"/>
      <c r="CIY136" s="116"/>
      <c r="CIZ136" s="116"/>
      <c r="CJA136" s="116"/>
      <c r="CJB136" s="116"/>
      <c r="CJC136" s="116"/>
      <c r="CJD136" s="116"/>
      <c r="CJE136" s="116"/>
      <c r="CJF136" s="116"/>
      <c r="CJG136" s="116"/>
      <c r="CJH136" s="116"/>
      <c r="CJI136" s="116"/>
      <c r="CJJ136" s="118"/>
      <c r="CJK136" s="118"/>
      <c r="CJL136" s="118"/>
      <c r="CJM136" s="118"/>
      <c r="CJN136" s="118"/>
      <c r="CJO136" s="118"/>
      <c r="CJP136" s="118"/>
      <c r="CJQ136" s="118"/>
      <c r="CJR136" s="118"/>
      <c r="CJS136" s="118"/>
      <c r="CJT136" s="118"/>
      <c r="CJU136" s="118"/>
      <c r="CJV136" s="118"/>
      <c r="CJW136" s="118"/>
      <c r="CJX136" s="118"/>
      <c r="CKC136" s="118"/>
      <c r="CKD136" s="118"/>
      <c r="CKE136" s="118"/>
      <c r="CKF136" s="118"/>
      <c r="CKG136" s="118"/>
      <c r="CKH136" s="118"/>
      <c r="CKI136" s="118"/>
      <c r="CKJ136" s="118"/>
      <c r="CKK136" s="118"/>
      <c r="CKL136" s="118"/>
      <c r="CKX136" s="82"/>
      <c r="CLA136" s="69"/>
      <c r="CLE136" s="116"/>
      <c r="CLF136" s="116"/>
      <c r="CLG136" s="116"/>
      <c r="CLH136" s="116"/>
      <c r="CLI136" s="116"/>
      <c r="CLJ136" s="116"/>
      <c r="CLK136" s="116"/>
      <c r="CLL136" s="116"/>
      <c r="CLM136" s="116"/>
      <c r="CLN136" s="116"/>
      <c r="CLO136" s="116"/>
      <c r="CLP136" s="116"/>
      <c r="CLQ136" s="116"/>
      <c r="CLR136" s="116"/>
      <c r="CLS136" s="118"/>
      <c r="CLT136" s="118"/>
      <c r="CLU136" s="118"/>
      <c r="CLV136" s="118"/>
      <c r="CLW136" s="118"/>
      <c r="CLX136" s="118"/>
      <c r="CLY136" s="118"/>
      <c r="CLZ136" s="118"/>
      <c r="CMA136" s="118"/>
      <c r="CMB136" s="118"/>
      <c r="CMC136" s="118"/>
      <c r="CMD136" s="118"/>
      <c r="CME136" s="118"/>
      <c r="CMF136" s="118"/>
      <c r="CMG136" s="118"/>
      <c r="CML136" s="118"/>
      <c r="CMM136" s="118"/>
      <c r="CMN136" s="118"/>
      <c r="CMO136" s="118"/>
      <c r="CMP136" s="118"/>
      <c r="CMQ136" s="118"/>
      <c r="CMR136" s="118"/>
      <c r="CMS136" s="118"/>
      <c r="CMT136" s="118"/>
      <c r="CMU136" s="118"/>
      <c r="CNG136" s="82"/>
      <c r="CNJ136" s="69"/>
      <c r="CNN136" s="116"/>
      <c r="CNO136" s="116"/>
      <c r="CNP136" s="116"/>
      <c r="CNQ136" s="116"/>
      <c r="CNR136" s="116"/>
      <c r="CNS136" s="116"/>
      <c r="CNT136" s="116"/>
      <c r="CNU136" s="116"/>
      <c r="CNV136" s="116"/>
      <c r="CNW136" s="116"/>
      <c r="CNX136" s="116"/>
      <c r="CNY136" s="116"/>
      <c r="CNZ136" s="116"/>
      <c r="COA136" s="116"/>
      <c r="COB136" s="118"/>
      <c r="COC136" s="118"/>
      <c r="COD136" s="118"/>
      <c r="COE136" s="118"/>
      <c r="COF136" s="118"/>
      <c r="COG136" s="118"/>
      <c r="COH136" s="118"/>
      <c r="COI136" s="118"/>
      <c r="COJ136" s="118"/>
      <c r="COK136" s="118"/>
      <c r="COL136" s="118"/>
      <c r="COM136" s="118"/>
      <c r="CON136" s="118"/>
      <c r="COO136" s="118"/>
      <c r="COP136" s="118"/>
      <c r="COU136" s="118"/>
      <c r="COV136" s="118"/>
      <c r="COW136" s="118"/>
      <c r="COX136" s="118"/>
      <c r="COY136" s="118"/>
      <c r="COZ136" s="118"/>
      <c r="CPA136" s="118"/>
      <c r="CPB136" s="118"/>
      <c r="CPC136" s="118"/>
      <c r="CPD136" s="118"/>
      <c r="CPP136" s="82"/>
      <c r="CPS136" s="69"/>
      <c r="CPW136" s="116"/>
      <c r="CPX136" s="116"/>
      <c r="CPY136" s="116"/>
      <c r="CPZ136" s="116"/>
      <c r="CQA136" s="116"/>
      <c r="CQB136" s="116"/>
      <c r="CQC136" s="116"/>
      <c r="CQD136" s="116"/>
      <c r="CQE136" s="116"/>
      <c r="CQF136" s="116"/>
      <c r="CQG136" s="116"/>
      <c r="CQH136" s="116"/>
      <c r="CQI136" s="116"/>
      <c r="CQJ136" s="116"/>
      <c r="CQK136" s="118"/>
      <c r="CQL136" s="118"/>
      <c r="CQM136" s="118"/>
      <c r="CQN136" s="118"/>
      <c r="CQO136" s="118"/>
      <c r="CQP136" s="118"/>
      <c r="CQQ136" s="118"/>
      <c r="CQR136" s="118"/>
      <c r="CQS136" s="118"/>
      <c r="CQT136" s="118"/>
      <c r="CQU136" s="118"/>
      <c r="CQV136" s="118"/>
      <c r="CQW136" s="118"/>
      <c r="CQX136" s="118"/>
      <c r="CQY136" s="118"/>
      <c r="CRD136" s="118"/>
      <c r="CRE136" s="118"/>
      <c r="CRF136" s="118"/>
      <c r="CRG136" s="118"/>
      <c r="CRH136" s="118"/>
      <c r="CRI136" s="118"/>
      <c r="CRJ136" s="118"/>
      <c r="CRK136" s="118"/>
      <c r="CRL136" s="118"/>
      <c r="CRM136" s="118"/>
      <c r="CRY136" s="82"/>
      <c r="CSB136" s="69"/>
      <c r="CSF136" s="116"/>
      <c r="CSG136" s="116"/>
      <c r="CSH136" s="116"/>
      <c r="CSI136" s="116"/>
      <c r="CSJ136" s="116"/>
      <c r="CSK136" s="116"/>
      <c r="CSL136" s="116"/>
      <c r="CSM136" s="116"/>
      <c r="CSN136" s="116"/>
      <c r="CSO136" s="116"/>
      <c r="CSP136" s="116"/>
      <c r="CSQ136" s="116"/>
      <c r="CSR136" s="116"/>
      <c r="CSS136" s="116"/>
      <c r="CST136" s="118"/>
      <c r="CSU136" s="118"/>
      <c r="CSV136" s="118"/>
      <c r="CSW136" s="118"/>
      <c r="CSX136" s="118"/>
      <c r="CSY136" s="118"/>
      <c r="CSZ136" s="118"/>
      <c r="CTA136" s="118"/>
      <c r="CTB136" s="118"/>
      <c r="CTC136" s="118"/>
      <c r="CTD136" s="118"/>
      <c r="CTE136" s="118"/>
      <c r="CTF136" s="118"/>
      <c r="CTG136" s="118"/>
      <c r="CTH136" s="118"/>
      <c r="CTM136" s="118"/>
      <c r="CTN136" s="118"/>
      <c r="CTO136" s="118"/>
      <c r="CTP136" s="118"/>
      <c r="CTQ136" s="118"/>
      <c r="CTR136" s="118"/>
      <c r="CTS136" s="118"/>
      <c r="CTT136" s="118"/>
      <c r="CTU136" s="118"/>
      <c r="CTV136" s="118"/>
      <c r="CUH136" s="82"/>
      <c r="CUK136" s="69"/>
      <c r="CUO136" s="116"/>
      <c r="CUP136" s="116"/>
      <c r="CUQ136" s="116"/>
      <c r="CUR136" s="116"/>
      <c r="CUS136" s="116"/>
      <c r="CUT136" s="116"/>
      <c r="CUU136" s="116"/>
      <c r="CUV136" s="116"/>
      <c r="CUW136" s="116"/>
      <c r="CUX136" s="116"/>
      <c r="CUY136" s="116"/>
      <c r="CUZ136" s="116"/>
      <c r="CVA136" s="116"/>
      <c r="CVB136" s="116"/>
      <c r="CVC136" s="118"/>
      <c r="CVD136" s="118"/>
      <c r="CVE136" s="118"/>
      <c r="CVF136" s="118"/>
      <c r="CVG136" s="118"/>
      <c r="CVH136" s="118"/>
      <c r="CVI136" s="118"/>
      <c r="CVJ136" s="118"/>
      <c r="CVK136" s="118"/>
      <c r="CVL136" s="118"/>
      <c r="CVM136" s="118"/>
      <c r="CVN136" s="118"/>
      <c r="CVO136" s="118"/>
      <c r="CVP136" s="118"/>
      <c r="CVQ136" s="118"/>
      <c r="CVV136" s="118"/>
      <c r="CVW136" s="118"/>
      <c r="CVX136" s="118"/>
      <c r="CVY136" s="118"/>
      <c r="CVZ136" s="118"/>
      <c r="CWA136" s="118"/>
      <c r="CWB136" s="118"/>
      <c r="CWC136" s="118"/>
      <c r="CWD136" s="118"/>
      <c r="CWE136" s="118"/>
      <c r="CWQ136" s="82"/>
      <c r="CWT136" s="69"/>
      <c r="CWX136" s="116"/>
      <c r="CWY136" s="116"/>
      <c r="CWZ136" s="116"/>
      <c r="CXA136" s="116"/>
      <c r="CXB136" s="116"/>
      <c r="CXC136" s="116"/>
      <c r="CXD136" s="116"/>
      <c r="CXE136" s="116"/>
      <c r="CXF136" s="116"/>
      <c r="CXG136" s="116"/>
      <c r="CXH136" s="116"/>
      <c r="CXI136" s="116"/>
      <c r="CXJ136" s="116"/>
      <c r="CXK136" s="116"/>
      <c r="CXL136" s="118"/>
      <c r="CXM136" s="118"/>
      <c r="CXN136" s="118"/>
      <c r="CXO136" s="118"/>
      <c r="CXP136" s="118"/>
      <c r="CXQ136" s="118"/>
      <c r="CXR136" s="118"/>
      <c r="CXS136" s="118"/>
      <c r="CXT136" s="118"/>
      <c r="CXU136" s="118"/>
      <c r="CXV136" s="118"/>
      <c r="CXW136" s="118"/>
      <c r="CXX136" s="118"/>
      <c r="CXY136" s="118"/>
      <c r="CXZ136" s="118"/>
      <c r="CYE136" s="118"/>
      <c r="CYF136" s="118"/>
      <c r="CYG136" s="118"/>
      <c r="CYH136" s="118"/>
      <c r="CYI136" s="118"/>
      <c r="CYJ136" s="118"/>
      <c r="CYK136" s="118"/>
      <c r="CYL136" s="118"/>
      <c r="CYM136" s="118"/>
      <c r="CYN136" s="118"/>
      <c r="CYZ136" s="82"/>
      <c r="CZC136" s="69"/>
      <c r="CZG136" s="116"/>
      <c r="CZH136" s="116"/>
      <c r="CZI136" s="116"/>
      <c r="CZJ136" s="116"/>
      <c r="CZK136" s="116"/>
      <c r="CZL136" s="116"/>
      <c r="CZM136" s="116"/>
      <c r="CZN136" s="116"/>
      <c r="CZO136" s="116"/>
      <c r="CZP136" s="116"/>
      <c r="CZQ136" s="116"/>
      <c r="CZR136" s="116"/>
      <c r="CZS136" s="116"/>
      <c r="CZT136" s="116"/>
      <c r="CZU136" s="118"/>
      <c r="CZV136" s="118"/>
      <c r="CZW136" s="118"/>
      <c r="CZX136" s="118"/>
      <c r="CZY136" s="118"/>
      <c r="CZZ136" s="118"/>
      <c r="DAA136" s="118"/>
      <c r="DAB136" s="118"/>
      <c r="DAC136" s="118"/>
      <c r="DAD136" s="118"/>
      <c r="DAE136" s="118"/>
      <c r="DAF136" s="118"/>
      <c r="DAG136" s="118"/>
      <c r="DAH136" s="118"/>
      <c r="DAI136" s="118"/>
      <c r="DAN136" s="118"/>
      <c r="DAO136" s="118"/>
      <c r="DAP136" s="118"/>
      <c r="DAQ136" s="118"/>
      <c r="DAR136" s="118"/>
      <c r="DAS136" s="118"/>
      <c r="DAT136" s="118"/>
      <c r="DAU136" s="118"/>
      <c r="DAV136" s="118"/>
      <c r="DAW136" s="118"/>
      <c r="DBI136" s="82"/>
      <c r="DBL136" s="69"/>
      <c r="DBP136" s="116"/>
      <c r="DBQ136" s="116"/>
      <c r="DBR136" s="116"/>
      <c r="DBS136" s="116"/>
      <c r="DBT136" s="116"/>
      <c r="DBU136" s="116"/>
      <c r="DBV136" s="116"/>
      <c r="DBW136" s="116"/>
      <c r="DBX136" s="116"/>
      <c r="DBY136" s="116"/>
      <c r="DBZ136" s="116"/>
      <c r="DCA136" s="116"/>
      <c r="DCB136" s="116"/>
      <c r="DCC136" s="116"/>
      <c r="DCD136" s="118"/>
      <c r="DCE136" s="118"/>
      <c r="DCF136" s="118"/>
      <c r="DCG136" s="118"/>
      <c r="DCH136" s="118"/>
      <c r="DCI136" s="118"/>
      <c r="DCJ136" s="118"/>
      <c r="DCK136" s="118"/>
      <c r="DCL136" s="118"/>
      <c r="DCM136" s="118"/>
      <c r="DCN136" s="118"/>
      <c r="DCO136" s="118"/>
      <c r="DCP136" s="118"/>
      <c r="DCQ136" s="118"/>
      <c r="DCR136" s="118"/>
      <c r="DCW136" s="118"/>
      <c r="DCX136" s="118"/>
      <c r="DCY136" s="118"/>
      <c r="DCZ136" s="118"/>
      <c r="DDA136" s="118"/>
      <c r="DDB136" s="118"/>
      <c r="DDC136" s="118"/>
      <c r="DDD136" s="118"/>
      <c r="DDE136" s="118"/>
      <c r="DDF136" s="118"/>
      <c r="DDR136" s="82"/>
      <c r="DDU136" s="69"/>
      <c r="DDY136" s="116"/>
      <c r="DDZ136" s="116"/>
      <c r="DEA136" s="116"/>
      <c r="DEB136" s="116"/>
      <c r="DEC136" s="116"/>
      <c r="DED136" s="116"/>
      <c r="DEE136" s="116"/>
      <c r="DEF136" s="116"/>
      <c r="DEG136" s="116"/>
      <c r="DEH136" s="116"/>
      <c r="DEI136" s="116"/>
      <c r="DEJ136" s="116"/>
      <c r="DEK136" s="116"/>
      <c r="DEL136" s="116"/>
      <c r="DEM136" s="118"/>
      <c r="DEN136" s="118"/>
      <c r="DEO136" s="118"/>
      <c r="DEP136" s="118"/>
      <c r="DEQ136" s="118"/>
      <c r="DER136" s="118"/>
      <c r="DES136" s="118"/>
      <c r="DET136" s="118"/>
      <c r="DEU136" s="118"/>
      <c r="DEV136" s="118"/>
      <c r="DEW136" s="118"/>
      <c r="DEX136" s="118"/>
      <c r="DEY136" s="118"/>
      <c r="DEZ136" s="118"/>
      <c r="DFA136" s="118"/>
      <c r="DFF136" s="118"/>
      <c r="DFG136" s="118"/>
      <c r="DFH136" s="118"/>
      <c r="DFI136" s="118"/>
      <c r="DFJ136" s="118"/>
      <c r="DFK136" s="118"/>
      <c r="DFL136" s="118"/>
      <c r="DFM136" s="118"/>
      <c r="DFN136" s="118"/>
      <c r="DFO136" s="118"/>
      <c r="DGA136" s="82"/>
      <c r="DGD136" s="69"/>
      <c r="DGH136" s="116"/>
      <c r="DGI136" s="116"/>
      <c r="DGJ136" s="116"/>
      <c r="DGK136" s="116"/>
      <c r="DGL136" s="116"/>
      <c r="DGM136" s="116"/>
      <c r="DGN136" s="116"/>
      <c r="DGO136" s="116"/>
      <c r="DGP136" s="116"/>
      <c r="DGQ136" s="116"/>
      <c r="DGR136" s="116"/>
      <c r="DGS136" s="116"/>
      <c r="DGT136" s="116"/>
      <c r="DGU136" s="116"/>
      <c r="DGV136" s="118"/>
      <c r="DGW136" s="118"/>
      <c r="DGX136" s="118"/>
      <c r="DGY136" s="118"/>
      <c r="DGZ136" s="118"/>
      <c r="DHA136" s="118"/>
      <c r="DHB136" s="118"/>
      <c r="DHC136" s="118"/>
      <c r="DHD136" s="118"/>
      <c r="DHE136" s="118"/>
      <c r="DHF136" s="118"/>
      <c r="DHG136" s="118"/>
      <c r="DHH136" s="118"/>
      <c r="DHI136" s="118"/>
      <c r="DHJ136" s="118"/>
      <c r="DHO136" s="118"/>
      <c r="DHP136" s="118"/>
      <c r="DHQ136" s="118"/>
      <c r="DHR136" s="118"/>
      <c r="DHS136" s="118"/>
      <c r="DHT136" s="118"/>
      <c r="DHU136" s="118"/>
      <c r="DHV136" s="118"/>
      <c r="DHW136" s="118"/>
      <c r="DHX136" s="118"/>
      <c r="DIJ136" s="82"/>
      <c r="DIM136" s="69"/>
      <c r="DIQ136" s="116"/>
      <c r="DIR136" s="116"/>
      <c r="DIS136" s="116"/>
      <c r="DIT136" s="116"/>
      <c r="DIU136" s="116"/>
      <c r="DIV136" s="116"/>
      <c r="DIW136" s="116"/>
      <c r="DIX136" s="116"/>
      <c r="DIY136" s="116"/>
      <c r="DIZ136" s="116"/>
      <c r="DJA136" s="116"/>
      <c r="DJB136" s="116"/>
      <c r="DJC136" s="116"/>
      <c r="DJD136" s="116"/>
      <c r="DJE136" s="118"/>
      <c r="DJF136" s="118"/>
      <c r="DJG136" s="118"/>
      <c r="DJH136" s="118"/>
      <c r="DJI136" s="118"/>
      <c r="DJJ136" s="118"/>
      <c r="DJK136" s="118"/>
      <c r="DJL136" s="118"/>
      <c r="DJM136" s="118"/>
      <c r="DJN136" s="118"/>
      <c r="DJO136" s="118"/>
      <c r="DJP136" s="118"/>
      <c r="DJQ136" s="118"/>
      <c r="DJR136" s="118"/>
      <c r="DJS136" s="118"/>
      <c r="DJX136" s="118"/>
      <c r="DJY136" s="118"/>
      <c r="DJZ136" s="118"/>
      <c r="DKA136" s="118"/>
      <c r="DKB136" s="118"/>
      <c r="DKC136" s="118"/>
      <c r="DKD136" s="118"/>
      <c r="DKE136" s="118"/>
      <c r="DKF136" s="118"/>
      <c r="DKG136" s="118"/>
      <c r="DKS136" s="82"/>
      <c r="DKV136" s="69"/>
      <c r="DKZ136" s="116"/>
      <c r="DLA136" s="116"/>
      <c r="DLB136" s="116"/>
      <c r="DLC136" s="116"/>
      <c r="DLD136" s="116"/>
      <c r="DLE136" s="116"/>
      <c r="DLF136" s="116"/>
      <c r="DLG136" s="116"/>
      <c r="DLH136" s="116"/>
      <c r="DLI136" s="116"/>
      <c r="DLJ136" s="116"/>
      <c r="DLK136" s="116"/>
      <c r="DLL136" s="116"/>
      <c r="DLM136" s="116"/>
      <c r="DLN136" s="118"/>
      <c r="DLO136" s="118"/>
      <c r="DLP136" s="118"/>
      <c r="DLQ136" s="118"/>
      <c r="DLR136" s="118"/>
      <c r="DLS136" s="118"/>
      <c r="DLT136" s="118"/>
      <c r="DLU136" s="118"/>
      <c r="DLV136" s="118"/>
      <c r="DLW136" s="118"/>
      <c r="DLX136" s="118"/>
      <c r="DLY136" s="118"/>
      <c r="DLZ136" s="118"/>
      <c r="DMA136" s="118"/>
      <c r="DMB136" s="118"/>
      <c r="DMG136" s="118"/>
      <c r="DMH136" s="118"/>
      <c r="DMI136" s="118"/>
      <c r="DMJ136" s="118"/>
      <c r="DMK136" s="118"/>
      <c r="DML136" s="118"/>
      <c r="DMM136" s="118"/>
      <c r="DMN136" s="118"/>
      <c r="DMO136" s="118"/>
      <c r="DMP136" s="118"/>
      <c r="DNB136" s="82"/>
      <c r="DNE136" s="69"/>
      <c r="DNI136" s="116"/>
      <c r="DNJ136" s="116"/>
      <c r="DNK136" s="116"/>
      <c r="DNL136" s="116"/>
      <c r="DNM136" s="116"/>
      <c r="DNN136" s="116"/>
      <c r="DNO136" s="116"/>
      <c r="DNP136" s="116"/>
      <c r="DNQ136" s="116"/>
      <c r="DNR136" s="116"/>
      <c r="DNS136" s="116"/>
      <c r="DNT136" s="116"/>
      <c r="DNU136" s="116"/>
      <c r="DNV136" s="116"/>
      <c r="DNW136" s="118"/>
      <c r="DNX136" s="118"/>
      <c r="DNY136" s="118"/>
      <c r="DNZ136" s="118"/>
      <c r="DOA136" s="118"/>
      <c r="DOB136" s="118"/>
      <c r="DOC136" s="118"/>
      <c r="DOD136" s="118"/>
      <c r="DOE136" s="118"/>
      <c r="DOF136" s="118"/>
      <c r="DOG136" s="118"/>
      <c r="DOH136" s="118"/>
      <c r="DOI136" s="118"/>
      <c r="DOJ136" s="118"/>
      <c r="DOK136" s="118"/>
      <c r="DOP136" s="118"/>
      <c r="DOQ136" s="118"/>
      <c r="DOR136" s="118"/>
      <c r="DOS136" s="118"/>
      <c r="DOT136" s="118"/>
      <c r="DOU136" s="118"/>
      <c r="DOV136" s="118"/>
      <c r="DOW136" s="118"/>
      <c r="DOX136" s="118"/>
      <c r="DOY136" s="118"/>
      <c r="DPK136" s="82"/>
      <c r="DPN136" s="69"/>
      <c r="DPR136" s="116"/>
      <c r="DPS136" s="116"/>
      <c r="DPT136" s="116"/>
      <c r="DPU136" s="116"/>
      <c r="DPV136" s="116"/>
      <c r="DPW136" s="116"/>
      <c r="DPX136" s="116"/>
      <c r="DPY136" s="116"/>
      <c r="DPZ136" s="116"/>
      <c r="DQA136" s="116"/>
      <c r="DQB136" s="116"/>
      <c r="DQC136" s="116"/>
      <c r="DQD136" s="116"/>
      <c r="DQE136" s="116"/>
      <c r="DQF136" s="118"/>
      <c r="DQG136" s="118"/>
      <c r="DQH136" s="118"/>
      <c r="DQI136" s="118"/>
      <c r="DQJ136" s="118"/>
      <c r="DQK136" s="118"/>
      <c r="DQL136" s="118"/>
      <c r="DQM136" s="118"/>
      <c r="DQN136" s="118"/>
      <c r="DQO136" s="118"/>
      <c r="DQP136" s="118"/>
      <c r="DQQ136" s="118"/>
      <c r="DQR136" s="118"/>
      <c r="DQS136" s="118"/>
      <c r="DQT136" s="118"/>
      <c r="DQY136" s="118"/>
      <c r="DQZ136" s="118"/>
      <c r="DRA136" s="118"/>
      <c r="DRB136" s="118"/>
      <c r="DRC136" s="118"/>
      <c r="DRD136" s="118"/>
      <c r="DRE136" s="118"/>
      <c r="DRF136" s="118"/>
      <c r="DRG136" s="118"/>
      <c r="DRH136" s="118"/>
      <c r="DRT136" s="82"/>
      <c r="DRW136" s="69"/>
      <c r="DSA136" s="116"/>
      <c r="DSB136" s="116"/>
      <c r="DSC136" s="116"/>
      <c r="DSD136" s="116"/>
      <c r="DSE136" s="116"/>
      <c r="DSF136" s="116"/>
      <c r="DSG136" s="116"/>
      <c r="DSH136" s="116"/>
      <c r="DSI136" s="116"/>
      <c r="DSJ136" s="116"/>
      <c r="DSK136" s="116"/>
      <c r="DSL136" s="116"/>
      <c r="DSM136" s="116"/>
      <c r="DSN136" s="116"/>
      <c r="DSO136" s="118"/>
      <c r="DSP136" s="118"/>
      <c r="DSQ136" s="118"/>
      <c r="DSR136" s="118"/>
      <c r="DSS136" s="118"/>
      <c r="DST136" s="118"/>
      <c r="DSU136" s="118"/>
      <c r="DSV136" s="118"/>
      <c r="DSW136" s="118"/>
      <c r="DSX136" s="118"/>
      <c r="DSY136" s="118"/>
      <c r="DSZ136" s="118"/>
      <c r="DTA136" s="118"/>
      <c r="DTB136" s="118"/>
      <c r="DTC136" s="118"/>
      <c r="DTH136" s="118"/>
      <c r="DTI136" s="118"/>
      <c r="DTJ136" s="118"/>
      <c r="DTK136" s="118"/>
      <c r="DTL136" s="118"/>
      <c r="DTM136" s="118"/>
      <c r="DTN136" s="118"/>
      <c r="DTO136" s="118"/>
      <c r="DTP136" s="118"/>
      <c r="DTQ136" s="118"/>
      <c r="DUC136" s="82"/>
      <c r="DUF136" s="69"/>
      <c r="DUJ136" s="116"/>
      <c r="DUK136" s="116"/>
      <c r="DUL136" s="116"/>
      <c r="DUM136" s="116"/>
      <c r="DUN136" s="116"/>
      <c r="DUO136" s="116"/>
      <c r="DUP136" s="116"/>
      <c r="DUQ136" s="116"/>
      <c r="DUR136" s="116"/>
      <c r="DUS136" s="116"/>
      <c r="DUT136" s="116"/>
      <c r="DUU136" s="116"/>
      <c r="DUV136" s="116"/>
      <c r="DUW136" s="116"/>
      <c r="DUX136" s="118"/>
      <c r="DUY136" s="118"/>
      <c r="DUZ136" s="118"/>
      <c r="DVA136" s="118"/>
      <c r="DVB136" s="118"/>
      <c r="DVC136" s="118"/>
      <c r="DVD136" s="118"/>
      <c r="DVE136" s="118"/>
      <c r="DVF136" s="118"/>
      <c r="DVG136" s="118"/>
      <c r="DVH136" s="118"/>
      <c r="DVI136" s="118"/>
      <c r="DVJ136" s="118"/>
      <c r="DVK136" s="118"/>
      <c r="DVL136" s="118"/>
      <c r="DVQ136" s="118"/>
      <c r="DVR136" s="118"/>
      <c r="DVS136" s="118"/>
      <c r="DVT136" s="118"/>
      <c r="DVU136" s="118"/>
      <c r="DVV136" s="118"/>
      <c r="DVW136" s="118"/>
      <c r="DVX136" s="118"/>
      <c r="DVY136" s="118"/>
      <c r="DVZ136" s="118"/>
      <c r="DWL136" s="82"/>
      <c r="DWO136" s="69"/>
      <c r="DWS136" s="116"/>
      <c r="DWT136" s="116"/>
      <c r="DWU136" s="116"/>
      <c r="DWV136" s="116"/>
      <c r="DWW136" s="116"/>
      <c r="DWX136" s="116"/>
      <c r="DWY136" s="116"/>
      <c r="DWZ136" s="116"/>
      <c r="DXA136" s="116"/>
      <c r="DXB136" s="116"/>
      <c r="DXC136" s="116"/>
      <c r="DXD136" s="116"/>
      <c r="DXE136" s="116"/>
      <c r="DXF136" s="116"/>
      <c r="DXG136" s="118"/>
      <c r="DXH136" s="118"/>
      <c r="DXI136" s="118"/>
      <c r="DXJ136" s="118"/>
      <c r="DXK136" s="118"/>
      <c r="DXL136" s="118"/>
      <c r="DXM136" s="118"/>
      <c r="DXN136" s="118"/>
      <c r="DXO136" s="118"/>
      <c r="DXP136" s="118"/>
      <c r="DXQ136" s="118"/>
      <c r="DXR136" s="118"/>
      <c r="DXS136" s="118"/>
      <c r="DXT136" s="118"/>
      <c r="DXU136" s="118"/>
      <c r="DXZ136" s="118"/>
      <c r="DYA136" s="118"/>
      <c r="DYB136" s="118"/>
      <c r="DYC136" s="118"/>
      <c r="DYD136" s="118"/>
      <c r="DYE136" s="118"/>
      <c r="DYF136" s="118"/>
      <c r="DYG136" s="118"/>
      <c r="DYH136" s="118"/>
      <c r="DYI136" s="118"/>
      <c r="DYU136" s="82"/>
      <c r="DYX136" s="69"/>
      <c r="DZB136" s="116"/>
      <c r="DZC136" s="116"/>
      <c r="DZD136" s="116"/>
      <c r="DZE136" s="116"/>
      <c r="DZF136" s="116"/>
      <c r="DZG136" s="116"/>
      <c r="DZH136" s="116"/>
      <c r="DZI136" s="116"/>
      <c r="DZJ136" s="116"/>
      <c r="DZK136" s="116"/>
      <c r="DZL136" s="116"/>
      <c r="DZM136" s="116"/>
      <c r="DZN136" s="116"/>
      <c r="DZO136" s="116"/>
      <c r="DZP136" s="118"/>
      <c r="DZQ136" s="118"/>
      <c r="DZR136" s="118"/>
      <c r="DZS136" s="118"/>
      <c r="DZT136" s="118"/>
      <c r="DZU136" s="118"/>
      <c r="DZV136" s="118"/>
      <c r="DZW136" s="118"/>
      <c r="DZX136" s="118"/>
      <c r="DZY136" s="118"/>
      <c r="DZZ136" s="118"/>
      <c r="EAA136" s="118"/>
      <c r="EAB136" s="118"/>
      <c r="EAC136" s="118"/>
      <c r="EAD136" s="118"/>
      <c r="EAI136" s="118"/>
      <c r="EAJ136" s="118"/>
      <c r="EAK136" s="118"/>
      <c r="EAL136" s="118"/>
      <c r="EAM136" s="118"/>
      <c r="EAN136" s="118"/>
      <c r="EAO136" s="118"/>
      <c r="EAP136" s="118"/>
      <c r="EAQ136" s="118"/>
      <c r="EAR136" s="118"/>
      <c r="EBD136" s="82"/>
      <c r="EBG136" s="69"/>
      <c r="EBK136" s="116"/>
      <c r="EBL136" s="116"/>
      <c r="EBM136" s="116"/>
      <c r="EBN136" s="116"/>
      <c r="EBO136" s="116"/>
      <c r="EBP136" s="116"/>
      <c r="EBQ136" s="116"/>
      <c r="EBR136" s="116"/>
      <c r="EBS136" s="116"/>
      <c r="EBT136" s="116"/>
      <c r="EBU136" s="116"/>
      <c r="EBV136" s="116"/>
      <c r="EBW136" s="116"/>
      <c r="EBX136" s="116"/>
      <c r="EBY136" s="118"/>
      <c r="EBZ136" s="118"/>
      <c r="ECA136" s="118"/>
      <c r="ECB136" s="118"/>
      <c r="ECC136" s="118"/>
      <c r="ECD136" s="118"/>
      <c r="ECE136" s="118"/>
      <c r="ECF136" s="118"/>
      <c r="ECG136" s="118"/>
      <c r="ECH136" s="118"/>
      <c r="ECI136" s="118"/>
      <c r="ECJ136" s="118"/>
      <c r="ECK136" s="118"/>
      <c r="ECL136" s="118"/>
      <c r="ECM136" s="118"/>
      <c r="ECR136" s="118"/>
      <c r="ECS136" s="118"/>
      <c r="ECT136" s="118"/>
      <c r="ECU136" s="118"/>
      <c r="ECV136" s="118"/>
      <c r="ECW136" s="118"/>
      <c r="ECX136" s="118"/>
      <c r="ECY136" s="118"/>
      <c r="ECZ136" s="118"/>
      <c r="EDA136" s="118"/>
      <c r="EDM136" s="82"/>
      <c r="EDP136" s="69"/>
      <c r="EDT136" s="116"/>
      <c r="EDU136" s="116"/>
      <c r="EDV136" s="116"/>
      <c r="EDW136" s="116"/>
      <c r="EDX136" s="116"/>
      <c r="EDY136" s="116"/>
      <c r="EDZ136" s="116"/>
      <c r="EEA136" s="116"/>
      <c r="EEB136" s="116"/>
      <c r="EEC136" s="116"/>
      <c r="EED136" s="116"/>
      <c r="EEE136" s="116"/>
      <c r="EEF136" s="116"/>
      <c r="EEG136" s="116"/>
      <c r="EEH136" s="118"/>
      <c r="EEI136" s="118"/>
      <c r="EEJ136" s="118"/>
      <c r="EEK136" s="118"/>
      <c r="EEL136" s="118"/>
      <c r="EEM136" s="118"/>
      <c r="EEN136" s="118"/>
      <c r="EEO136" s="118"/>
      <c r="EEP136" s="118"/>
      <c r="EEQ136" s="118"/>
      <c r="EER136" s="118"/>
      <c r="EES136" s="118"/>
      <c r="EET136" s="118"/>
      <c r="EEU136" s="118"/>
      <c r="EEV136" s="118"/>
      <c r="EFA136" s="118"/>
      <c r="EFB136" s="118"/>
      <c r="EFC136" s="118"/>
      <c r="EFD136" s="118"/>
      <c r="EFE136" s="118"/>
      <c r="EFF136" s="118"/>
      <c r="EFG136" s="118"/>
      <c r="EFH136" s="118"/>
      <c r="EFI136" s="118"/>
      <c r="EFJ136" s="118"/>
      <c r="EFV136" s="82"/>
      <c r="EFY136" s="69"/>
      <c r="EGC136" s="116"/>
      <c r="EGD136" s="116"/>
      <c r="EGE136" s="116"/>
      <c r="EGF136" s="116"/>
      <c r="EGG136" s="116"/>
      <c r="EGH136" s="116"/>
      <c r="EGI136" s="116"/>
      <c r="EGJ136" s="116"/>
      <c r="EGK136" s="116"/>
      <c r="EGL136" s="116"/>
      <c r="EGM136" s="116"/>
      <c r="EGN136" s="116"/>
      <c r="EGO136" s="116"/>
      <c r="EGP136" s="116"/>
      <c r="EGQ136" s="118"/>
      <c r="EGR136" s="118"/>
      <c r="EGS136" s="118"/>
      <c r="EGT136" s="118"/>
      <c r="EGU136" s="118"/>
      <c r="EGV136" s="118"/>
      <c r="EGW136" s="118"/>
      <c r="EGX136" s="118"/>
      <c r="EGY136" s="118"/>
      <c r="EGZ136" s="118"/>
      <c r="EHA136" s="118"/>
      <c r="EHB136" s="118"/>
      <c r="EHC136" s="118"/>
      <c r="EHD136" s="118"/>
      <c r="EHE136" s="118"/>
      <c r="EHJ136" s="118"/>
      <c r="EHK136" s="118"/>
      <c r="EHL136" s="118"/>
      <c r="EHM136" s="118"/>
      <c r="EHN136" s="118"/>
      <c r="EHO136" s="118"/>
      <c r="EHP136" s="118"/>
      <c r="EHQ136" s="118"/>
      <c r="EHR136" s="118"/>
      <c r="EHS136" s="118"/>
      <c r="EIE136" s="82"/>
      <c r="EIH136" s="69"/>
      <c r="EIL136" s="116"/>
      <c r="EIM136" s="116"/>
      <c r="EIN136" s="116"/>
      <c r="EIO136" s="116"/>
      <c r="EIP136" s="116"/>
      <c r="EIQ136" s="116"/>
      <c r="EIR136" s="116"/>
      <c r="EIS136" s="116"/>
      <c r="EIT136" s="116"/>
      <c r="EIU136" s="116"/>
      <c r="EIV136" s="116"/>
      <c r="EIW136" s="116"/>
      <c r="EIX136" s="116"/>
      <c r="EIY136" s="116"/>
      <c r="EIZ136" s="118"/>
      <c r="EJA136" s="118"/>
      <c r="EJB136" s="118"/>
      <c r="EJC136" s="118"/>
      <c r="EJD136" s="118"/>
      <c r="EJE136" s="118"/>
      <c r="EJF136" s="118"/>
      <c r="EJG136" s="118"/>
      <c r="EJH136" s="118"/>
      <c r="EJI136" s="118"/>
      <c r="EJJ136" s="118"/>
      <c r="EJK136" s="118"/>
      <c r="EJL136" s="118"/>
      <c r="EJM136" s="118"/>
      <c r="EJN136" s="118"/>
      <c r="EJS136" s="118"/>
      <c r="EJT136" s="118"/>
      <c r="EJU136" s="118"/>
      <c r="EJV136" s="118"/>
      <c r="EJW136" s="118"/>
      <c r="EJX136" s="118"/>
      <c r="EJY136" s="118"/>
      <c r="EJZ136" s="118"/>
      <c r="EKA136" s="118"/>
      <c r="EKB136" s="118"/>
      <c r="EKN136" s="82"/>
      <c r="EKQ136" s="69"/>
      <c r="EKU136" s="116"/>
      <c r="EKV136" s="116"/>
      <c r="EKW136" s="116"/>
      <c r="EKX136" s="116"/>
      <c r="EKY136" s="116"/>
      <c r="EKZ136" s="116"/>
      <c r="ELA136" s="116"/>
      <c r="ELB136" s="116"/>
      <c r="ELC136" s="116"/>
      <c r="ELD136" s="116"/>
      <c r="ELE136" s="116"/>
      <c r="ELF136" s="116"/>
      <c r="ELG136" s="116"/>
      <c r="ELH136" s="116"/>
      <c r="ELI136" s="118"/>
      <c r="ELJ136" s="118"/>
      <c r="ELK136" s="118"/>
      <c r="ELL136" s="118"/>
      <c r="ELM136" s="118"/>
      <c r="ELN136" s="118"/>
      <c r="ELO136" s="118"/>
      <c r="ELP136" s="118"/>
      <c r="ELQ136" s="118"/>
      <c r="ELR136" s="118"/>
      <c r="ELS136" s="118"/>
      <c r="ELT136" s="118"/>
      <c r="ELU136" s="118"/>
      <c r="ELV136" s="118"/>
      <c r="ELW136" s="118"/>
      <c r="EMB136" s="118"/>
      <c r="EMC136" s="118"/>
      <c r="EMD136" s="118"/>
      <c r="EME136" s="118"/>
      <c r="EMF136" s="118"/>
      <c r="EMG136" s="118"/>
      <c r="EMH136" s="118"/>
      <c r="EMI136" s="118"/>
      <c r="EMJ136" s="118"/>
      <c r="EMK136" s="118"/>
      <c r="EMW136" s="82"/>
      <c r="EMZ136" s="69"/>
      <c r="END136" s="116"/>
      <c r="ENE136" s="116"/>
      <c r="ENF136" s="116"/>
      <c r="ENG136" s="116"/>
      <c r="ENH136" s="116"/>
      <c r="ENI136" s="116"/>
      <c r="ENJ136" s="116"/>
      <c r="ENK136" s="116"/>
      <c r="ENL136" s="116"/>
      <c r="ENM136" s="116"/>
      <c r="ENN136" s="116"/>
      <c r="ENO136" s="116"/>
      <c r="ENP136" s="116"/>
      <c r="ENQ136" s="116"/>
      <c r="ENR136" s="118"/>
      <c r="ENS136" s="118"/>
      <c r="ENT136" s="118"/>
      <c r="ENU136" s="118"/>
      <c r="ENV136" s="118"/>
      <c r="ENW136" s="118"/>
      <c r="ENX136" s="118"/>
      <c r="ENY136" s="118"/>
      <c r="ENZ136" s="118"/>
      <c r="EOA136" s="118"/>
      <c r="EOB136" s="118"/>
      <c r="EOC136" s="118"/>
      <c r="EOD136" s="118"/>
      <c r="EOE136" s="118"/>
      <c r="EOF136" s="118"/>
      <c r="EOK136" s="118"/>
      <c r="EOL136" s="118"/>
      <c r="EOM136" s="118"/>
      <c r="EON136" s="118"/>
      <c r="EOO136" s="118"/>
      <c r="EOP136" s="118"/>
      <c r="EOQ136" s="118"/>
      <c r="EOR136" s="118"/>
      <c r="EOS136" s="118"/>
      <c r="EOT136" s="118"/>
      <c r="EPF136" s="82"/>
      <c r="EPI136" s="69"/>
      <c r="EPM136" s="116"/>
      <c r="EPN136" s="116"/>
      <c r="EPO136" s="116"/>
      <c r="EPP136" s="116"/>
      <c r="EPQ136" s="116"/>
      <c r="EPR136" s="116"/>
      <c r="EPS136" s="116"/>
      <c r="EPT136" s="116"/>
      <c r="EPU136" s="116"/>
      <c r="EPV136" s="116"/>
      <c r="EPW136" s="116"/>
      <c r="EPX136" s="116"/>
      <c r="EPY136" s="116"/>
      <c r="EPZ136" s="116"/>
      <c r="EQA136" s="118"/>
      <c r="EQB136" s="118"/>
      <c r="EQC136" s="118"/>
      <c r="EQD136" s="118"/>
      <c r="EQE136" s="118"/>
      <c r="EQF136" s="118"/>
      <c r="EQG136" s="118"/>
      <c r="EQH136" s="118"/>
      <c r="EQI136" s="118"/>
      <c r="EQJ136" s="118"/>
      <c r="EQK136" s="118"/>
      <c r="EQL136" s="118"/>
      <c r="EQM136" s="118"/>
      <c r="EQN136" s="118"/>
      <c r="EQO136" s="118"/>
      <c r="EQT136" s="118"/>
      <c r="EQU136" s="118"/>
      <c r="EQV136" s="118"/>
      <c r="EQW136" s="118"/>
      <c r="EQX136" s="118"/>
      <c r="EQY136" s="118"/>
      <c r="EQZ136" s="118"/>
      <c r="ERA136" s="118"/>
      <c r="ERB136" s="118"/>
      <c r="ERC136" s="118"/>
      <c r="ERO136" s="82"/>
      <c r="ERR136" s="69"/>
      <c r="ERV136" s="116"/>
      <c r="ERW136" s="116"/>
      <c r="ERX136" s="116"/>
      <c r="ERY136" s="116"/>
      <c r="ERZ136" s="116"/>
      <c r="ESA136" s="116"/>
      <c r="ESB136" s="116"/>
      <c r="ESC136" s="116"/>
      <c r="ESD136" s="116"/>
      <c r="ESE136" s="116"/>
      <c r="ESF136" s="116"/>
      <c r="ESG136" s="116"/>
      <c r="ESH136" s="116"/>
      <c r="ESI136" s="116"/>
      <c r="ESJ136" s="118"/>
      <c r="ESK136" s="118"/>
      <c r="ESL136" s="118"/>
      <c r="ESM136" s="118"/>
      <c r="ESN136" s="118"/>
      <c r="ESO136" s="118"/>
      <c r="ESP136" s="118"/>
      <c r="ESQ136" s="118"/>
      <c r="ESR136" s="118"/>
      <c r="ESS136" s="118"/>
      <c r="EST136" s="118"/>
      <c r="ESU136" s="118"/>
      <c r="ESV136" s="118"/>
      <c r="ESW136" s="118"/>
      <c r="ESX136" s="118"/>
      <c r="ETC136" s="118"/>
      <c r="ETD136" s="118"/>
      <c r="ETE136" s="118"/>
      <c r="ETF136" s="118"/>
      <c r="ETG136" s="118"/>
      <c r="ETH136" s="118"/>
      <c r="ETI136" s="118"/>
      <c r="ETJ136" s="118"/>
      <c r="ETK136" s="118"/>
      <c r="ETL136" s="118"/>
      <c r="ETX136" s="82"/>
      <c r="EUA136" s="69"/>
      <c r="EUE136" s="116"/>
      <c r="EUF136" s="116"/>
      <c r="EUG136" s="116"/>
      <c r="EUH136" s="116"/>
      <c r="EUI136" s="116"/>
      <c r="EUJ136" s="116"/>
      <c r="EUK136" s="116"/>
      <c r="EUL136" s="116"/>
      <c r="EUM136" s="116"/>
      <c r="EUN136" s="116"/>
      <c r="EUO136" s="116"/>
      <c r="EUP136" s="116"/>
      <c r="EUQ136" s="116"/>
      <c r="EUR136" s="116"/>
      <c r="EUS136" s="118"/>
      <c r="EUT136" s="118"/>
      <c r="EUU136" s="118"/>
      <c r="EUV136" s="118"/>
      <c r="EUW136" s="118"/>
      <c r="EUX136" s="118"/>
      <c r="EUY136" s="118"/>
      <c r="EUZ136" s="118"/>
      <c r="EVA136" s="118"/>
      <c r="EVB136" s="118"/>
      <c r="EVC136" s="118"/>
      <c r="EVD136" s="118"/>
      <c r="EVE136" s="118"/>
      <c r="EVF136" s="118"/>
      <c r="EVG136" s="118"/>
      <c r="EVL136" s="118"/>
      <c r="EVM136" s="118"/>
      <c r="EVN136" s="118"/>
      <c r="EVO136" s="118"/>
      <c r="EVP136" s="118"/>
      <c r="EVQ136" s="118"/>
      <c r="EVR136" s="118"/>
      <c r="EVS136" s="118"/>
      <c r="EVT136" s="118"/>
      <c r="EVU136" s="118"/>
      <c r="EWG136" s="82"/>
      <c r="EWJ136" s="69"/>
      <c r="EWN136" s="116"/>
      <c r="EWO136" s="116"/>
      <c r="EWP136" s="116"/>
      <c r="EWQ136" s="116"/>
      <c r="EWR136" s="116"/>
      <c r="EWS136" s="116"/>
      <c r="EWT136" s="116"/>
      <c r="EWU136" s="116"/>
      <c r="EWV136" s="116"/>
      <c r="EWW136" s="116"/>
      <c r="EWX136" s="116"/>
      <c r="EWY136" s="116"/>
      <c r="EWZ136" s="116"/>
      <c r="EXA136" s="116"/>
      <c r="EXB136" s="118"/>
      <c r="EXC136" s="118"/>
      <c r="EXD136" s="118"/>
      <c r="EXE136" s="118"/>
      <c r="EXF136" s="118"/>
      <c r="EXG136" s="118"/>
      <c r="EXH136" s="118"/>
      <c r="EXI136" s="118"/>
      <c r="EXJ136" s="118"/>
      <c r="EXK136" s="118"/>
      <c r="EXL136" s="118"/>
      <c r="EXM136" s="118"/>
      <c r="EXN136" s="118"/>
      <c r="EXO136" s="118"/>
      <c r="EXP136" s="118"/>
      <c r="EXU136" s="118"/>
      <c r="EXV136" s="118"/>
      <c r="EXW136" s="118"/>
      <c r="EXX136" s="118"/>
      <c r="EXY136" s="118"/>
      <c r="EXZ136" s="118"/>
      <c r="EYA136" s="118"/>
      <c r="EYB136" s="118"/>
      <c r="EYC136" s="118"/>
      <c r="EYD136" s="118"/>
      <c r="EYP136" s="82"/>
      <c r="EYS136" s="69"/>
      <c r="EYW136" s="116"/>
      <c r="EYX136" s="116"/>
      <c r="EYY136" s="116"/>
      <c r="EYZ136" s="116"/>
      <c r="EZA136" s="116"/>
      <c r="EZB136" s="116"/>
      <c r="EZC136" s="116"/>
      <c r="EZD136" s="116"/>
      <c r="EZE136" s="116"/>
      <c r="EZF136" s="116"/>
      <c r="EZG136" s="116"/>
      <c r="EZH136" s="116"/>
      <c r="EZI136" s="116"/>
      <c r="EZJ136" s="116"/>
      <c r="EZK136" s="118"/>
      <c r="EZL136" s="118"/>
      <c r="EZM136" s="118"/>
      <c r="EZN136" s="118"/>
      <c r="EZO136" s="118"/>
      <c r="EZP136" s="118"/>
      <c r="EZQ136" s="118"/>
      <c r="EZR136" s="118"/>
      <c r="EZS136" s="118"/>
      <c r="EZT136" s="118"/>
      <c r="EZU136" s="118"/>
      <c r="EZV136" s="118"/>
      <c r="EZW136" s="118"/>
      <c r="EZX136" s="118"/>
      <c r="EZY136" s="118"/>
      <c r="FAD136" s="118"/>
      <c r="FAE136" s="118"/>
      <c r="FAF136" s="118"/>
      <c r="FAG136" s="118"/>
      <c r="FAH136" s="118"/>
      <c r="FAI136" s="118"/>
      <c r="FAJ136" s="118"/>
      <c r="FAK136" s="118"/>
      <c r="FAL136" s="118"/>
      <c r="FAM136" s="118"/>
      <c r="FAY136" s="82"/>
      <c r="FBB136" s="69"/>
      <c r="FBF136" s="116"/>
      <c r="FBG136" s="116"/>
      <c r="FBH136" s="116"/>
      <c r="FBI136" s="116"/>
      <c r="FBJ136" s="116"/>
      <c r="FBK136" s="116"/>
      <c r="FBL136" s="116"/>
      <c r="FBM136" s="116"/>
      <c r="FBN136" s="116"/>
      <c r="FBO136" s="116"/>
      <c r="FBP136" s="116"/>
      <c r="FBQ136" s="116"/>
      <c r="FBR136" s="116"/>
      <c r="FBS136" s="116"/>
      <c r="FBT136" s="118"/>
      <c r="FBU136" s="118"/>
      <c r="FBV136" s="118"/>
      <c r="FBW136" s="118"/>
      <c r="FBX136" s="118"/>
      <c r="FBY136" s="118"/>
      <c r="FBZ136" s="118"/>
      <c r="FCA136" s="118"/>
      <c r="FCB136" s="118"/>
      <c r="FCC136" s="118"/>
      <c r="FCD136" s="118"/>
      <c r="FCE136" s="118"/>
      <c r="FCF136" s="118"/>
      <c r="FCG136" s="118"/>
      <c r="FCH136" s="118"/>
      <c r="FCM136" s="118"/>
      <c r="FCN136" s="118"/>
      <c r="FCO136" s="118"/>
      <c r="FCP136" s="118"/>
      <c r="FCQ136" s="118"/>
      <c r="FCR136" s="118"/>
      <c r="FCS136" s="118"/>
      <c r="FCT136" s="118"/>
      <c r="FCU136" s="118"/>
      <c r="FCV136" s="118"/>
      <c r="FDH136" s="82"/>
      <c r="FDK136" s="69"/>
      <c r="FDO136" s="116"/>
      <c r="FDP136" s="116"/>
      <c r="FDQ136" s="116"/>
      <c r="FDR136" s="116"/>
      <c r="FDS136" s="116"/>
      <c r="FDT136" s="116"/>
      <c r="FDU136" s="116"/>
      <c r="FDV136" s="116"/>
      <c r="FDW136" s="116"/>
      <c r="FDX136" s="116"/>
      <c r="FDY136" s="116"/>
      <c r="FDZ136" s="116"/>
      <c r="FEA136" s="116"/>
      <c r="FEB136" s="116"/>
      <c r="FEC136" s="118"/>
      <c r="FED136" s="118"/>
      <c r="FEE136" s="118"/>
      <c r="FEF136" s="118"/>
      <c r="FEG136" s="118"/>
      <c r="FEH136" s="118"/>
      <c r="FEI136" s="118"/>
      <c r="FEJ136" s="118"/>
      <c r="FEK136" s="118"/>
      <c r="FEL136" s="118"/>
      <c r="FEM136" s="118"/>
      <c r="FEN136" s="118"/>
      <c r="FEO136" s="118"/>
      <c r="FEP136" s="118"/>
      <c r="FEQ136" s="118"/>
      <c r="FEV136" s="118"/>
      <c r="FEW136" s="118"/>
      <c r="FEX136" s="118"/>
      <c r="FEY136" s="118"/>
      <c r="FEZ136" s="118"/>
      <c r="FFA136" s="118"/>
      <c r="FFB136" s="118"/>
      <c r="FFC136" s="118"/>
      <c r="FFD136" s="118"/>
      <c r="FFE136" s="118"/>
      <c r="FFQ136" s="82"/>
      <c r="FFT136" s="69"/>
      <c r="FFX136" s="116"/>
      <c r="FFY136" s="116"/>
      <c r="FFZ136" s="116"/>
      <c r="FGA136" s="116"/>
      <c r="FGB136" s="116"/>
      <c r="FGC136" s="116"/>
      <c r="FGD136" s="116"/>
      <c r="FGE136" s="116"/>
      <c r="FGF136" s="116"/>
      <c r="FGG136" s="116"/>
      <c r="FGH136" s="116"/>
      <c r="FGI136" s="116"/>
      <c r="FGJ136" s="116"/>
      <c r="FGK136" s="116"/>
      <c r="FGL136" s="118"/>
      <c r="FGM136" s="118"/>
      <c r="FGN136" s="118"/>
      <c r="FGO136" s="118"/>
      <c r="FGP136" s="118"/>
      <c r="FGQ136" s="118"/>
      <c r="FGR136" s="118"/>
      <c r="FGS136" s="118"/>
      <c r="FGT136" s="118"/>
      <c r="FGU136" s="118"/>
      <c r="FGV136" s="118"/>
      <c r="FGW136" s="118"/>
      <c r="FGX136" s="118"/>
      <c r="FGY136" s="118"/>
      <c r="FGZ136" s="118"/>
      <c r="FHE136" s="118"/>
      <c r="FHF136" s="118"/>
      <c r="FHG136" s="118"/>
      <c r="FHH136" s="118"/>
      <c r="FHI136" s="118"/>
      <c r="FHJ136" s="118"/>
      <c r="FHK136" s="118"/>
      <c r="FHL136" s="118"/>
      <c r="FHM136" s="118"/>
      <c r="FHN136" s="118"/>
      <c r="FHZ136" s="82"/>
      <c r="FIC136" s="69"/>
      <c r="FIG136" s="116"/>
      <c r="FIH136" s="116"/>
      <c r="FII136" s="116"/>
      <c r="FIJ136" s="116"/>
      <c r="FIK136" s="116"/>
      <c r="FIL136" s="116"/>
      <c r="FIM136" s="116"/>
      <c r="FIN136" s="116"/>
      <c r="FIO136" s="116"/>
      <c r="FIP136" s="116"/>
      <c r="FIQ136" s="116"/>
      <c r="FIR136" s="116"/>
      <c r="FIS136" s="116"/>
      <c r="FIT136" s="116"/>
      <c r="FIU136" s="118"/>
      <c r="FIV136" s="118"/>
      <c r="FIW136" s="118"/>
      <c r="FIX136" s="118"/>
      <c r="FIY136" s="118"/>
      <c r="FIZ136" s="118"/>
      <c r="FJA136" s="118"/>
      <c r="FJB136" s="118"/>
      <c r="FJC136" s="118"/>
      <c r="FJD136" s="118"/>
      <c r="FJE136" s="118"/>
      <c r="FJF136" s="118"/>
      <c r="FJG136" s="118"/>
      <c r="FJH136" s="118"/>
      <c r="FJI136" s="118"/>
      <c r="FJN136" s="118"/>
      <c r="FJO136" s="118"/>
      <c r="FJP136" s="118"/>
      <c r="FJQ136" s="118"/>
      <c r="FJR136" s="118"/>
      <c r="FJS136" s="118"/>
      <c r="FJT136" s="118"/>
      <c r="FJU136" s="118"/>
      <c r="FJV136" s="118"/>
      <c r="FJW136" s="118"/>
      <c r="FKI136" s="82"/>
      <c r="FKL136" s="69"/>
      <c r="FKP136" s="116"/>
      <c r="FKQ136" s="116"/>
      <c r="FKR136" s="116"/>
      <c r="FKS136" s="116"/>
      <c r="FKT136" s="116"/>
      <c r="FKU136" s="116"/>
      <c r="FKV136" s="116"/>
      <c r="FKW136" s="116"/>
      <c r="FKX136" s="116"/>
      <c r="FKY136" s="116"/>
      <c r="FKZ136" s="116"/>
      <c r="FLA136" s="116"/>
      <c r="FLB136" s="116"/>
      <c r="FLC136" s="116"/>
      <c r="FLD136" s="118"/>
      <c r="FLE136" s="118"/>
      <c r="FLF136" s="118"/>
      <c r="FLG136" s="118"/>
      <c r="FLH136" s="118"/>
      <c r="FLI136" s="118"/>
      <c r="FLJ136" s="118"/>
      <c r="FLK136" s="118"/>
      <c r="FLL136" s="118"/>
      <c r="FLM136" s="118"/>
      <c r="FLN136" s="118"/>
      <c r="FLO136" s="118"/>
      <c r="FLP136" s="118"/>
      <c r="FLQ136" s="118"/>
      <c r="FLR136" s="118"/>
      <c r="FLW136" s="118"/>
      <c r="FLX136" s="118"/>
      <c r="FLY136" s="118"/>
      <c r="FLZ136" s="118"/>
      <c r="FMA136" s="118"/>
      <c r="FMB136" s="118"/>
      <c r="FMC136" s="118"/>
      <c r="FMD136" s="118"/>
      <c r="FME136" s="118"/>
      <c r="FMF136" s="118"/>
      <c r="FMR136" s="82"/>
      <c r="FMU136" s="69"/>
      <c r="FMY136" s="116"/>
      <c r="FMZ136" s="116"/>
      <c r="FNA136" s="116"/>
      <c r="FNB136" s="116"/>
      <c r="FNC136" s="116"/>
      <c r="FND136" s="116"/>
      <c r="FNE136" s="116"/>
      <c r="FNF136" s="116"/>
      <c r="FNG136" s="116"/>
      <c r="FNH136" s="116"/>
      <c r="FNI136" s="116"/>
      <c r="FNJ136" s="116"/>
      <c r="FNK136" s="116"/>
      <c r="FNL136" s="116"/>
      <c r="FNM136" s="118"/>
      <c r="FNN136" s="118"/>
      <c r="FNO136" s="118"/>
      <c r="FNP136" s="118"/>
      <c r="FNQ136" s="118"/>
      <c r="FNR136" s="118"/>
      <c r="FNS136" s="118"/>
      <c r="FNT136" s="118"/>
      <c r="FNU136" s="118"/>
      <c r="FNV136" s="118"/>
      <c r="FNW136" s="118"/>
      <c r="FNX136" s="118"/>
      <c r="FNY136" s="118"/>
      <c r="FNZ136" s="118"/>
      <c r="FOA136" s="118"/>
      <c r="FOF136" s="118"/>
      <c r="FOG136" s="118"/>
      <c r="FOH136" s="118"/>
      <c r="FOI136" s="118"/>
      <c r="FOJ136" s="118"/>
      <c r="FOK136" s="118"/>
      <c r="FOL136" s="118"/>
      <c r="FOM136" s="118"/>
      <c r="FON136" s="118"/>
      <c r="FOO136" s="118"/>
      <c r="FPA136" s="82"/>
      <c r="FPD136" s="69"/>
      <c r="FPH136" s="116"/>
      <c r="FPI136" s="116"/>
      <c r="FPJ136" s="116"/>
      <c r="FPK136" s="116"/>
      <c r="FPL136" s="116"/>
      <c r="FPM136" s="116"/>
      <c r="FPN136" s="116"/>
      <c r="FPO136" s="116"/>
      <c r="FPP136" s="116"/>
      <c r="FPQ136" s="116"/>
      <c r="FPR136" s="116"/>
      <c r="FPS136" s="116"/>
      <c r="FPT136" s="116"/>
      <c r="FPU136" s="116"/>
      <c r="FPV136" s="118"/>
      <c r="FPW136" s="118"/>
      <c r="FPX136" s="118"/>
      <c r="FPY136" s="118"/>
      <c r="FPZ136" s="118"/>
      <c r="FQA136" s="118"/>
      <c r="FQB136" s="118"/>
      <c r="FQC136" s="118"/>
      <c r="FQD136" s="118"/>
      <c r="FQE136" s="118"/>
      <c r="FQF136" s="118"/>
      <c r="FQG136" s="118"/>
      <c r="FQH136" s="118"/>
      <c r="FQI136" s="118"/>
      <c r="FQJ136" s="118"/>
      <c r="FQO136" s="118"/>
      <c r="FQP136" s="118"/>
      <c r="FQQ136" s="118"/>
      <c r="FQR136" s="118"/>
      <c r="FQS136" s="118"/>
      <c r="FQT136" s="118"/>
      <c r="FQU136" s="118"/>
      <c r="FQV136" s="118"/>
      <c r="FQW136" s="118"/>
      <c r="FQX136" s="118"/>
      <c r="FRJ136" s="82"/>
      <c r="FRM136" s="69"/>
      <c r="FRQ136" s="116"/>
      <c r="FRR136" s="116"/>
      <c r="FRS136" s="116"/>
      <c r="FRT136" s="116"/>
      <c r="FRU136" s="116"/>
      <c r="FRV136" s="116"/>
      <c r="FRW136" s="116"/>
      <c r="FRX136" s="116"/>
      <c r="FRY136" s="116"/>
      <c r="FRZ136" s="116"/>
      <c r="FSA136" s="116"/>
      <c r="FSB136" s="116"/>
      <c r="FSC136" s="116"/>
      <c r="FSD136" s="116"/>
      <c r="FSE136" s="118"/>
      <c r="FSF136" s="118"/>
      <c r="FSG136" s="118"/>
      <c r="FSH136" s="118"/>
      <c r="FSI136" s="118"/>
      <c r="FSJ136" s="118"/>
      <c r="FSK136" s="118"/>
      <c r="FSL136" s="118"/>
      <c r="FSM136" s="118"/>
      <c r="FSN136" s="118"/>
      <c r="FSO136" s="118"/>
      <c r="FSP136" s="118"/>
      <c r="FSQ136" s="118"/>
      <c r="FSR136" s="118"/>
      <c r="FSS136" s="118"/>
      <c r="FSX136" s="118"/>
      <c r="FSY136" s="118"/>
      <c r="FSZ136" s="118"/>
      <c r="FTA136" s="118"/>
      <c r="FTB136" s="118"/>
      <c r="FTC136" s="118"/>
      <c r="FTD136" s="118"/>
      <c r="FTE136" s="118"/>
      <c r="FTF136" s="118"/>
      <c r="FTG136" s="118"/>
      <c r="FTS136" s="82"/>
      <c r="FTV136" s="69"/>
      <c r="FTZ136" s="116"/>
      <c r="FUA136" s="116"/>
      <c r="FUB136" s="116"/>
      <c r="FUC136" s="116"/>
      <c r="FUD136" s="116"/>
      <c r="FUE136" s="116"/>
      <c r="FUF136" s="116"/>
      <c r="FUG136" s="116"/>
      <c r="FUH136" s="116"/>
      <c r="FUI136" s="116"/>
      <c r="FUJ136" s="116"/>
      <c r="FUK136" s="116"/>
      <c r="FUL136" s="116"/>
      <c r="FUM136" s="116"/>
      <c r="FUN136" s="118"/>
      <c r="FUO136" s="118"/>
      <c r="FUP136" s="118"/>
      <c r="FUQ136" s="118"/>
      <c r="FUR136" s="118"/>
      <c r="FUS136" s="118"/>
      <c r="FUT136" s="118"/>
      <c r="FUU136" s="118"/>
      <c r="FUV136" s="118"/>
      <c r="FUW136" s="118"/>
      <c r="FUX136" s="118"/>
      <c r="FUY136" s="118"/>
      <c r="FUZ136" s="118"/>
      <c r="FVA136" s="118"/>
      <c r="FVB136" s="118"/>
      <c r="FVG136" s="118"/>
      <c r="FVH136" s="118"/>
      <c r="FVI136" s="118"/>
      <c r="FVJ136" s="118"/>
      <c r="FVK136" s="118"/>
      <c r="FVL136" s="118"/>
      <c r="FVM136" s="118"/>
      <c r="FVN136" s="118"/>
      <c r="FVO136" s="118"/>
      <c r="FVP136" s="118"/>
      <c r="FWB136" s="82"/>
      <c r="FWE136" s="69"/>
      <c r="FWI136" s="116"/>
      <c r="FWJ136" s="116"/>
      <c r="FWK136" s="116"/>
      <c r="FWL136" s="116"/>
      <c r="FWM136" s="116"/>
      <c r="FWN136" s="116"/>
      <c r="FWO136" s="116"/>
      <c r="FWP136" s="116"/>
      <c r="FWQ136" s="116"/>
      <c r="FWR136" s="116"/>
      <c r="FWS136" s="116"/>
      <c r="FWT136" s="116"/>
      <c r="FWU136" s="116"/>
      <c r="FWV136" s="116"/>
      <c r="FWW136" s="118"/>
      <c r="FWX136" s="118"/>
      <c r="FWY136" s="118"/>
      <c r="FWZ136" s="118"/>
      <c r="FXA136" s="118"/>
      <c r="FXB136" s="118"/>
      <c r="FXC136" s="118"/>
      <c r="FXD136" s="118"/>
      <c r="FXE136" s="118"/>
      <c r="FXF136" s="118"/>
      <c r="FXG136" s="118"/>
      <c r="FXH136" s="118"/>
      <c r="FXI136" s="118"/>
      <c r="FXJ136" s="118"/>
      <c r="FXK136" s="118"/>
      <c r="FXP136" s="118"/>
      <c r="FXQ136" s="118"/>
      <c r="FXR136" s="118"/>
      <c r="FXS136" s="118"/>
      <c r="FXT136" s="118"/>
      <c r="FXU136" s="118"/>
      <c r="FXV136" s="118"/>
      <c r="FXW136" s="118"/>
      <c r="FXX136" s="118"/>
      <c r="FXY136" s="118"/>
      <c r="FYK136" s="82"/>
      <c r="FYN136" s="69"/>
      <c r="FYR136" s="116"/>
      <c r="FYS136" s="116"/>
      <c r="FYT136" s="116"/>
      <c r="FYU136" s="116"/>
      <c r="FYV136" s="116"/>
      <c r="FYW136" s="116"/>
      <c r="FYX136" s="116"/>
      <c r="FYY136" s="116"/>
      <c r="FYZ136" s="116"/>
      <c r="FZA136" s="116"/>
      <c r="FZB136" s="116"/>
      <c r="FZC136" s="116"/>
      <c r="FZD136" s="116"/>
      <c r="FZE136" s="116"/>
      <c r="FZF136" s="118"/>
      <c r="FZG136" s="118"/>
      <c r="FZH136" s="118"/>
      <c r="FZI136" s="118"/>
      <c r="FZJ136" s="118"/>
      <c r="FZK136" s="118"/>
      <c r="FZL136" s="118"/>
      <c r="FZM136" s="118"/>
      <c r="FZN136" s="118"/>
      <c r="FZO136" s="118"/>
      <c r="FZP136" s="118"/>
      <c r="FZQ136" s="118"/>
      <c r="FZR136" s="118"/>
      <c r="FZS136" s="118"/>
      <c r="FZT136" s="118"/>
      <c r="FZY136" s="118"/>
      <c r="FZZ136" s="118"/>
      <c r="GAA136" s="118"/>
      <c r="GAB136" s="118"/>
      <c r="GAC136" s="118"/>
      <c r="GAD136" s="118"/>
      <c r="GAE136" s="118"/>
      <c r="GAF136" s="118"/>
      <c r="GAG136" s="118"/>
      <c r="GAH136" s="118"/>
      <c r="GAT136" s="82"/>
      <c r="GAW136" s="69"/>
      <c r="GBA136" s="116"/>
      <c r="GBB136" s="116"/>
      <c r="GBC136" s="116"/>
      <c r="GBD136" s="116"/>
      <c r="GBE136" s="116"/>
      <c r="GBF136" s="116"/>
      <c r="GBG136" s="116"/>
      <c r="GBH136" s="116"/>
      <c r="GBI136" s="116"/>
      <c r="GBJ136" s="116"/>
      <c r="GBK136" s="116"/>
      <c r="GBL136" s="116"/>
      <c r="GBM136" s="116"/>
      <c r="GBN136" s="116"/>
      <c r="GBO136" s="118"/>
      <c r="GBP136" s="118"/>
      <c r="GBQ136" s="118"/>
      <c r="GBR136" s="118"/>
      <c r="GBS136" s="118"/>
      <c r="GBT136" s="118"/>
      <c r="GBU136" s="118"/>
      <c r="GBV136" s="118"/>
      <c r="GBW136" s="118"/>
      <c r="GBX136" s="118"/>
      <c r="GBY136" s="118"/>
      <c r="GBZ136" s="118"/>
      <c r="GCA136" s="118"/>
      <c r="GCB136" s="118"/>
      <c r="GCC136" s="118"/>
      <c r="GCH136" s="118"/>
      <c r="GCI136" s="118"/>
      <c r="GCJ136" s="118"/>
      <c r="GCK136" s="118"/>
      <c r="GCL136" s="118"/>
      <c r="GCM136" s="118"/>
      <c r="GCN136" s="118"/>
      <c r="GCO136" s="118"/>
      <c r="GCP136" s="118"/>
      <c r="GCQ136" s="118"/>
      <c r="GDC136" s="82"/>
      <c r="GDF136" s="69"/>
      <c r="GDJ136" s="116"/>
      <c r="GDK136" s="116"/>
      <c r="GDL136" s="116"/>
      <c r="GDM136" s="116"/>
      <c r="GDN136" s="116"/>
      <c r="GDO136" s="116"/>
      <c r="GDP136" s="116"/>
      <c r="GDQ136" s="116"/>
      <c r="GDR136" s="116"/>
      <c r="GDS136" s="116"/>
      <c r="GDT136" s="116"/>
      <c r="GDU136" s="116"/>
      <c r="GDV136" s="116"/>
      <c r="GDW136" s="116"/>
      <c r="GDX136" s="118"/>
      <c r="GDY136" s="118"/>
      <c r="GDZ136" s="118"/>
      <c r="GEA136" s="118"/>
      <c r="GEB136" s="118"/>
      <c r="GEC136" s="118"/>
      <c r="GED136" s="118"/>
      <c r="GEE136" s="118"/>
      <c r="GEF136" s="118"/>
      <c r="GEG136" s="118"/>
      <c r="GEH136" s="118"/>
      <c r="GEI136" s="118"/>
      <c r="GEJ136" s="118"/>
      <c r="GEK136" s="118"/>
      <c r="GEL136" s="118"/>
      <c r="GEQ136" s="118"/>
      <c r="GER136" s="118"/>
      <c r="GES136" s="118"/>
      <c r="GET136" s="118"/>
      <c r="GEU136" s="118"/>
      <c r="GEV136" s="118"/>
      <c r="GEW136" s="118"/>
      <c r="GEX136" s="118"/>
      <c r="GEY136" s="118"/>
      <c r="GEZ136" s="118"/>
      <c r="GFL136" s="82"/>
      <c r="GFO136" s="69"/>
      <c r="GFS136" s="116"/>
      <c r="GFT136" s="116"/>
      <c r="GFU136" s="116"/>
      <c r="GFV136" s="116"/>
      <c r="GFW136" s="116"/>
      <c r="GFX136" s="116"/>
      <c r="GFY136" s="116"/>
      <c r="GFZ136" s="116"/>
      <c r="GGA136" s="116"/>
      <c r="GGB136" s="116"/>
      <c r="GGC136" s="116"/>
      <c r="GGD136" s="116"/>
      <c r="GGE136" s="116"/>
      <c r="GGF136" s="116"/>
      <c r="GGG136" s="118"/>
      <c r="GGH136" s="118"/>
      <c r="GGI136" s="118"/>
      <c r="GGJ136" s="118"/>
      <c r="GGK136" s="118"/>
      <c r="GGL136" s="118"/>
      <c r="GGM136" s="118"/>
      <c r="GGN136" s="118"/>
      <c r="GGO136" s="118"/>
      <c r="GGP136" s="118"/>
      <c r="GGQ136" s="118"/>
      <c r="GGR136" s="118"/>
      <c r="GGS136" s="118"/>
      <c r="GGT136" s="118"/>
      <c r="GGU136" s="118"/>
      <c r="GGZ136" s="118"/>
      <c r="GHA136" s="118"/>
      <c r="GHB136" s="118"/>
      <c r="GHC136" s="118"/>
      <c r="GHD136" s="118"/>
      <c r="GHE136" s="118"/>
      <c r="GHF136" s="118"/>
      <c r="GHG136" s="118"/>
      <c r="GHH136" s="118"/>
      <c r="GHI136" s="118"/>
      <c r="GHU136" s="82"/>
      <c r="GHX136" s="69"/>
      <c r="GIB136" s="116"/>
      <c r="GIC136" s="116"/>
      <c r="GID136" s="116"/>
      <c r="GIE136" s="116"/>
      <c r="GIF136" s="116"/>
      <c r="GIG136" s="116"/>
      <c r="GIH136" s="116"/>
      <c r="GII136" s="116"/>
      <c r="GIJ136" s="116"/>
      <c r="GIK136" s="116"/>
      <c r="GIL136" s="116"/>
      <c r="GIM136" s="116"/>
      <c r="GIN136" s="116"/>
      <c r="GIO136" s="116"/>
      <c r="GIP136" s="118"/>
      <c r="GIQ136" s="118"/>
      <c r="GIR136" s="118"/>
      <c r="GIS136" s="118"/>
      <c r="GIT136" s="118"/>
      <c r="GIU136" s="118"/>
      <c r="GIV136" s="118"/>
      <c r="GIW136" s="118"/>
      <c r="GIX136" s="118"/>
      <c r="GIY136" s="118"/>
      <c r="GIZ136" s="118"/>
      <c r="GJA136" s="118"/>
      <c r="GJB136" s="118"/>
      <c r="GJC136" s="118"/>
      <c r="GJD136" s="118"/>
      <c r="GJI136" s="118"/>
      <c r="GJJ136" s="118"/>
      <c r="GJK136" s="118"/>
      <c r="GJL136" s="118"/>
      <c r="GJM136" s="118"/>
      <c r="GJN136" s="118"/>
      <c r="GJO136" s="118"/>
      <c r="GJP136" s="118"/>
      <c r="GJQ136" s="118"/>
      <c r="GJR136" s="118"/>
      <c r="GKD136" s="82"/>
      <c r="GKG136" s="69"/>
      <c r="GKK136" s="116"/>
      <c r="GKL136" s="116"/>
      <c r="GKM136" s="116"/>
      <c r="GKN136" s="116"/>
      <c r="GKO136" s="116"/>
      <c r="GKP136" s="116"/>
      <c r="GKQ136" s="116"/>
      <c r="GKR136" s="116"/>
      <c r="GKS136" s="116"/>
      <c r="GKT136" s="116"/>
      <c r="GKU136" s="116"/>
      <c r="GKV136" s="116"/>
      <c r="GKW136" s="116"/>
      <c r="GKX136" s="116"/>
      <c r="GKY136" s="118"/>
      <c r="GKZ136" s="118"/>
      <c r="GLA136" s="118"/>
      <c r="GLB136" s="118"/>
      <c r="GLC136" s="118"/>
      <c r="GLD136" s="118"/>
      <c r="GLE136" s="118"/>
      <c r="GLF136" s="118"/>
      <c r="GLG136" s="118"/>
      <c r="GLH136" s="118"/>
      <c r="GLI136" s="118"/>
      <c r="GLJ136" s="118"/>
      <c r="GLK136" s="118"/>
      <c r="GLL136" s="118"/>
      <c r="GLM136" s="118"/>
      <c r="GLR136" s="118"/>
      <c r="GLS136" s="118"/>
      <c r="GLT136" s="118"/>
      <c r="GLU136" s="118"/>
      <c r="GLV136" s="118"/>
      <c r="GLW136" s="118"/>
      <c r="GLX136" s="118"/>
      <c r="GLY136" s="118"/>
      <c r="GLZ136" s="118"/>
      <c r="GMA136" s="118"/>
      <c r="GMM136" s="82"/>
      <c r="GMP136" s="69"/>
      <c r="GMT136" s="116"/>
      <c r="GMU136" s="116"/>
      <c r="GMV136" s="116"/>
      <c r="GMW136" s="116"/>
      <c r="GMX136" s="116"/>
      <c r="GMY136" s="116"/>
      <c r="GMZ136" s="116"/>
      <c r="GNA136" s="116"/>
      <c r="GNB136" s="116"/>
      <c r="GNC136" s="116"/>
      <c r="GND136" s="116"/>
      <c r="GNE136" s="116"/>
      <c r="GNF136" s="116"/>
      <c r="GNG136" s="116"/>
      <c r="GNH136" s="118"/>
      <c r="GNI136" s="118"/>
      <c r="GNJ136" s="118"/>
      <c r="GNK136" s="118"/>
      <c r="GNL136" s="118"/>
      <c r="GNM136" s="118"/>
      <c r="GNN136" s="118"/>
      <c r="GNO136" s="118"/>
      <c r="GNP136" s="118"/>
      <c r="GNQ136" s="118"/>
      <c r="GNR136" s="118"/>
      <c r="GNS136" s="118"/>
      <c r="GNT136" s="118"/>
      <c r="GNU136" s="118"/>
      <c r="GNV136" s="118"/>
      <c r="GOA136" s="118"/>
      <c r="GOB136" s="118"/>
      <c r="GOC136" s="118"/>
      <c r="GOD136" s="118"/>
      <c r="GOE136" s="118"/>
      <c r="GOF136" s="118"/>
      <c r="GOG136" s="118"/>
      <c r="GOH136" s="118"/>
      <c r="GOI136" s="118"/>
      <c r="GOJ136" s="118"/>
      <c r="GOV136" s="82"/>
      <c r="GOY136" s="69"/>
      <c r="GPC136" s="116"/>
      <c r="GPD136" s="116"/>
      <c r="GPE136" s="116"/>
      <c r="GPF136" s="116"/>
      <c r="GPG136" s="116"/>
      <c r="GPH136" s="116"/>
      <c r="GPI136" s="116"/>
      <c r="GPJ136" s="116"/>
      <c r="GPK136" s="116"/>
      <c r="GPL136" s="116"/>
      <c r="GPM136" s="116"/>
      <c r="GPN136" s="116"/>
      <c r="GPO136" s="116"/>
      <c r="GPP136" s="116"/>
      <c r="GPQ136" s="118"/>
      <c r="GPR136" s="118"/>
      <c r="GPS136" s="118"/>
      <c r="GPT136" s="118"/>
      <c r="GPU136" s="118"/>
      <c r="GPV136" s="118"/>
      <c r="GPW136" s="118"/>
      <c r="GPX136" s="118"/>
      <c r="GPY136" s="118"/>
      <c r="GPZ136" s="118"/>
      <c r="GQA136" s="118"/>
      <c r="GQB136" s="118"/>
      <c r="GQC136" s="118"/>
      <c r="GQD136" s="118"/>
      <c r="GQE136" s="118"/>
      <c r="GQJ136" s="118"/>
      <c r="GQK136" s="118"/>
      <c r="GQL136" s="118"/>
      <c r="GQM136" s="118"/>
      <c r="GQN136" s="118"/>
      <c r="GQO136" s="118"/>
      <c r="GQP136" s="118"/>
      <c r="GQQ136" s="118"/>
      <c r="GQR136" s="118"/>
      <c r="GQS136" s="118"/>
      <c r="GRE136" s="82"/>
      <c r="GRH136" s="69"/>
      <c r="GRL136" s="116"/>
      <c r="GRM136" s="116"/>
      <c r="GRN136" s="116"/>
      <c r="GRO136" s="116"/>
      <c r="GRP136" s="116"/>
      <c r="GRQ136" s="116"/>
      <c r="GRR136" s="116"/>
      <c r="GRS136" s="116"/>
      <c r="GRT136" s="116"/>
      <c r="GRU136" s="116"/>
      <c r="GRV136" s="116"/>
      <c r="GRW136" s="116"/>
      <c r="GRX136" s="116"/>
      <c r="GRY136" s="116"/>
      <c r="GRZ136" s="118"/>
      <c r="GSA136" s="118"/>
      <c r="GSB136" s="118"/>
      <c r="GSC136" s="118"/>
      <c r="GSD136" s="118"/>
      <c r="GSE136" s="118"/>
      <c r="GSF136" s="118"/>
      <c r="GSG136" s="118"/>
      <c r="GSH136" s="118"/>
      <c r="GSI136" s="118"/>
      <c r="GSJ136" s="118"/>
      <c r="GSK136" s="118"/>
      <c r="GSL136" s="118"/>
      <c r="GSM136" s="118"/>
      <c r="GSN136" s="118"/>
      <c r="GSS136" s="118"/>
      <c r="GST136" s="118"/>
      <c r="GSU136" s="118"/>
      <c r="GSV136" s="118"/>
      <c r="GSW136" s="118"/>
      <c r="GSX136" s="118"/>
      <c r="GSY136" s="118"/>
      <c r="GSZ136" s="118"/>
      <c r="GTA136" s="118"/>
      <c r="GTB136" s="118"/>
      <c r="GTN136" s="82"/>
      <c r="GTQ136" s="69"/>
      <c r="GTU136" s="116"/>
      <c r="GTV136" s="116"/>
      <c r="GTW136" s="116"/>
      <c r="GTX136" s="116"/>
      <c r="GTY136" s="116"/>
      <c r="GTZ136" s="116"/>
      <c r="GUA136" s="116"/>
      <c r="GUB136" s="116"/>
      <c r="GUC136" s="116"/>
      <c r="GUD136" s="116"/>
      <c r="GUE136" s="116"/>
      <c r="GUF136" s="116"/>
      <c r="GUG136" s="116"/>
      <c r="GUH136" s="116"/>
      <c r="GUI136" s="118"/>
      <c r="GUJ136" s="118"/>
      <c r="GUK136" s="118"/>
      <c r="GUL136" s="118"/>
      <c r="GUM136" s="118"/>
      <c r="GUN136" s="118"/>
      <c r="GUO136" s="118"/>
      <c r="GUP136" s="118"/>
      <c r="GUQ136" s="118"/>
      <c r="GUR136" s="118"/>
      <c r="GUS136" s="118"/>
      <c r="GUT136" s="118"/>
      <c r="GUU136" s="118"/>
      <c r="GUV136" s="118"/>
      <c r="GUW136" s="118"/>
      <c r="GVB136" s="118"/>
      <c r="GVC136" s="118"/>
      <c r="GVD136" s="118"/>
      <c r="GVE136" s="118"/>
      <c r="GVF136" s="118"/>
      <c r="GVG136" s="118"/>
      <c r="GVH136" s="118"/>
      <c r="GVI136" s="118"/>
      <c r="GVJ136" s="118"/>
      <c r="GVK136" s="118"/>
      <c r="GVW136" s="82"/>
      <c r="GVZ136" s="69"/>
      <c r="GWD136" s="116"/>
      <c r="GWE136" s="116"/>
      <c r="GWF136" s="116"/>
      <c r="GWG136" s="116"/>
      <c r="GWH136" s="116"/>
      <c r="GWI136" s="116"/>
      <c r="GWJ136" s="116"/>
      <c r="GWK136" s="116"/>
      <c r="GWL136" s="116"/>
      <c r="GWM136" s="116"/>
      <c r="GWN136" s="116"/>
      <c r="GWO136" s="116"/>
      <c r="GWP136" s="116"/>
      <c r="GWQ136" s="116"/>
      <c r="GWR136" s="118"/>
      <c r="GWS136" s="118"/>
      <c r="GWT136" s="118"/>
      <c r="GWU136" s="118"/>
      <c r="GWV136" s="118"/>
      <c r="GWW136" s="118"/>
      <c r="GWX136" s="118"/>
      <c r="GWY136" s="118"/>
      <c r="GWZ136" s="118"/>
      <c r="GXA136" s="118"/>
      <c r="GXB136" s="118"/>
      <c r="GXC136" s="118"/>
      <c r="GXD136" s="118"/>
      <c r="GXE136" s="118"/>
      <c r="GXF136" s="118"/>
      <c r="GXK136" s="118"/>
      <c r="GXL136" s="118"/>
      <c r="GXM136" s="118"/>
      <c r="GXN136" s="118"/>
      <c r="GXO136" s="118"/>
      <c r="GXP136" s="118"/>
      <c r="GXQ136" s="118"/>
      <c r="GXR136" s="118"/>
      <c r="GXS136" s="118"/>
      <c r="GXT136" s="118"/>
      <c r="GYF136" s="82"/>
      <c r="GYI136" s="69"/>
      <c r="GYM136" s="116"/>
      <c r="GYN136" s="116"/>
      <c r="GYO136" s="116"/>
      <c r="GYP136" s="116"/>
      <c r="GYQ136" s="116"/>
      <c r="GYR136" s="116"/>
      <c r="GYS136" s="116"/>
      <c r="GYT136" s="116"/>
      <c r="GYU136" s="116"/>
      <c r="GYV136" s="116"/>
      <c r="GYW136" s="116"/>
      <c r="GYX136" s="116"/>
      <c r="GYY136" s="116"/>
      <c r="GYZ136" s="116"/>
      <c r="GZA136" s="118"/>
      <c r="GZB136" s="118"/>
      <c r="GZC136" s="118"/>
      <c r="GZD136" s="118"/>
      <c r="GZE136" s="118"/>
      <c r="GZF136" s="118"/>
      <c r="GZG136" s="118"/>
      <c r="GZH136" s="118"/>
      <c r="GZI136" s="118"/>
      <c r="GZJ136" s="118"/>
      <c r="GZK136" s="118"/>
      <c r="GZL136" s="118"/>
      <c r="GZM136" s="118"/>
      <c r="GZN136" s="118"/>
      <c r="GZO136" s="118"/>
      <c r="GZT136" s="118"/>
      <c r="GZU136" s="118"/>
      <c r="GZV136" s="118"/>
      <c r="GZW136" s="118"/>
      <c r="GZX136" s="118"/>
      <c r="GZY136" s="118"/>
      <c r="GZZ136" s="118"/>
      <c r="HAA136" s="118"/>
      <c r="HAB136" s="118"/>
      <c r="HAC136" s="118"/>
      <c r="HAO136" s="82"/>
      <c r="HAR136" s="69"/>
      <c r="HAV136" s="116"/>
      <c r="HAW136" s="116"/>
      <c r="HAX136" s="116"/>
      <c r="HAY136" s="116"/>
      <c r="HAZ136" s="116"/>
      <c r="HBA136" s="116"/>
      <c r="HBB136" s="116"/>
      <c r="HBC136" s="116"/>
      <c r="HBD136" s="116"/>
      <c r="HBE136" s="116"/>
      <c r="HBF136" s="116"/>
      <c r="HBG136" s="116"/>
      <c r="HBH136" s="116"/>
      <c r="HBI136" s="116"/>
      <c r="HBJ136" s="118"/>
      <c r="HBK136" s="118"/>
      <c r="HBL136" s="118"/>
      <c r="HBM136" s="118"/>
      <c r="HBN136" s="118"/>
      <c r="HBO136" s="118"/>
      <c r="HBP136" s="118"/>
      <c r="HBQ136" s="118"/>
      <c r="HBR136" s="118"/>
      <c r="HBS136" s="118"/>
      <c r="HBT136" s="118"/>
      <c r="HBU136" s="118"/>
      <c r="HBV136" s="118"/>
      <c r="HBW136" s="118"/>
      <c r="HBX136" s="118"/>
      <c r="HCC136" s="118"/>
      <c r="HCD136" s="118"/>
      <c r="HCE136" s="118"/>
      <c r="HCF136" s="118"/>
      <c r="HCG136" s="118"/>
      <c r="HCH136" s="118"/>
      <c r="HCI136" s="118"/>
      <c r="HCJ136" s="118"/>
      <c r="HCK136" s="118"/>
      <c r="HCL136" s="118"/>
      <c r="HCX136" s="82"/>
      <c r="HDA136" s="69"/>
      <c r="HDE136" s="116"/>
      <c r="HDF136" s="116"/>
      <c r="HDG136" s="116"/>
      <c r="HDH136" s="116"/>
      <c r="HDI136" s="116"/>
      <c r="HDJ136" s="116"/>
      <c r="HDK136" s="116"/>
      <c r="HDL136" s="116"/>
      <c r="HDM136" s="116"/>
      <c r="HDN136" s="116"/>
      <c r="HDO136" s="116"/>
      <c r="HDP136" s="116"/>
      <c r="HDQ136" s="116"/>
      <c r="HDR136" s="116"/>
      <c r="HDS136" s="118"/>
      <c r="HDT136" s="118"/>
      <c r="HDU136" s="118"/>
      <c r="HDV136" s="118"/>
      <c r="HDW136" s="118"/>
      <c r="HDX136" s="118"/>
      <c r="HDY136" s="118"/>
      <c r="HDZ136" s="118"/>
      <c r="HEA136" s="118"/>
      <c r="HEB136" s="118"/>
      <c r="HEC136" s="118"/>
      <c r="HED136" s="118"/>
      <c r="HEE136" s="118"/>
      <c r="HEF136" s="118"/>
      <c r="HEG136" s="118"/>
      <c r="HEL136" s="118"/>
      <c r="HEM136" s="118"/>
      <c r="HEN136" s="118"/>
      <c r="HEO136" s="118"/>
      <c r="HEP136" s="118"/>
      <c r="HEQ136" s="118"/>
      <c r="HER136" s="118"/>
      <c r="HES136" s="118"/>
      <c r="HET136" s="118"/>
      <c r="HEU136" s="118"/>
      <c r="HFG136" s="82"/>
      <c r="HFJ136" s="69"/>
      <c r="HFN136" s="116"/>
      <c r="HFO136" s="116"/>
      <c r="HFP136" s="116"/>
      <c r="HFQ136" s="116"/>
      <c r="HFR136" s="116"/>
      <c r="HFS136" s="116"/>
      <c r="HFT136" s="116"/>
      <c r="HFU136" s="116"/>
      <c r="HFV136" s="116"/>
      <c r="HFW136" s="116"/>
      <c r="HFX136" s="116"/>
      <c r="HFY136" s="116"/>
      <c r="HFZ136" s="116"/>
      <c r="HGA136" s="116"/>
      <c r="HGB136" s="118"/>
      <c r="HGC136" s="118"/>
      <c r="HGD136" s="118"/>
      <c r="HGE136" s="118"/>
      <c r="HGF136" s="118"/>
      <c r="HGG136" s="118"/>
      <c r="HGH136" s="118"/>
      <c r="HGI136" s="118"/>
      <c r="HGJ136" s="118"/>
      <c r="HGK136" s="118"/>
      <c r="HGL136" s="118"/>
      <c r="HGM136" s="118"/>
      <c r="HGN136" s="118"/>
      <c r="HGO136" s="118"/>
      <c r="HGP136" s="118"/>
      <c r="HGU136" s="118"/>
      <c r="HGV136" s="118"/>
      <c r="HGW136" s="118"/>
      <c r="HGX136" s="118"/>
      <c r="HGY136" s="118"/>
      <c r="HGZ136" s="118"/>
      <c r="HHA136" s="118"/>
      <c r="HHB136" s="118"/>
      <c r="HHC136" s="118"/>
      <c r="HHD136" s="118"/>
      <c r="HHP136" s="82"/>
      <c r="HHS136" s="69"/>
      <c r="HHW136" s="116"/>
      <c r="HHX136" s="116"/>
      <c r="HHY136" s="116"/>
      <c r="HHZ136" s="116"/>
      <c r="HIA136" s="116"/>
      <c r="HIB136" s="116"/>
      <c r="HIC136" s="116"/>
      <c r="HID136" s="116"/>
      <c r="HIE136" s="116"/>
      <c r="HIF136" s="116"/>
      <c r="HIG136" s="116"/>
      <c r="HIH136" s="116"/>
      <c r="HII136" s="116"/>
      <c r="HIJ136" s="116"/>
      <c r="HIK136" s="118"/>
      <c r="HIL136" s="118"/>
      <c r="HIM136" s="118"/>
      <c r="HIN136" s="118"/>
      <c r="HIO136" s="118"/>
      <c r="HIP136" s="118"/>
      <c r="HIQ136" s="118"/>
      <c r="HIR136" s="118"/>
      <c r="HIS136" s="118"/>
      <c r="HIT136" s="118"/>
      <c r="HIU136" s="118"/>
      <c r="HIV136" s="118"/>
      <c r="HIW136" s="118"/>
      <c r="HIX136" s="118"/>
      <c r="HIY136" s="118"/>
      <c r="HJD136" s="118"/>
      <c r="HJE136" s="118"/>
      <c r="HJF136" s="118"/>
      <c r="HJG136" s="118"/>
      <c r="HJH136" s="118"/>
      <c r="HJI136" s="118"/>
      <c r="HJJ136" s="118"/>
      <c r="HJK136" s="118"/>
      <c r="HJL136" s="118"/>
      <c r="HJM136" s="118"/>
      <c r="HJY136" s="82"/>
      <c r="HKB136" s="69"/>
      <c r="HKF136" s="116"/>
      <c r="HKG136" s="116"/>
      <c r="HKH136" s="116"/>
      <c r="HKI136" s="116"/>
      <c r="HKJ136" s="116"/>
      <c r="HKK136" s="116"/>
      <c r="HKL136" s="116"/>
      <c r="HKM136" s="116"/>
      <c r="HKN136" s="116"/>
      <c r="HKO136" s="116"/>
      <c r="HKP136" s="116"/>
      <c r="HKQ136" s="116"/>
      <c r="HKR136" s="116"/>
      <c r="HKS136" s="116"/>
      <c r="HKT136" s="118"/>
      <c r="HKU136" s="118"/>
      <c r="HKV136" s="118"/>
      <c r="HKW136" s="118"/>
      <c r="HKX136" s="118"/>
      <c r="HKY136" s="118"/>
      <c r="HKZ136" s="118"/>
      <c r="HLA136" s="118"/>
      <c r="HLB136" s="118"/>
      <c r="HLC136" s="118"/>
      <c r="HLD136" s="118"/>
      <c r="HLE136" s="118"/>
      <c r="HLF136" s="118"/>
      <c r="HLG136" s="118"/>
      <c r="HLH136" s="118"/>
      <c r="HLM136" s="118"/>
      <c r="HLN136" s="118"/>
      <c r="HLO136" s="118"/>
      <c r="HLP136" s="118"/>
      <c r="HLQ136" s="118"/>
      <c r="HLR136" s="118"/>
      <c r="HLS136" s="118"/>
      <c r="HLT136" s="118"/>
      <c r="HLU136" s="118"/>
      <c r="HLV136" s="118"/>
      <c r="HMH136" s="82"/>
      <c r="HMK136" s="69"/>
      <c r="HMO136" s="116"/>
      <c r="HMP136" s="116"/>
      <c r="HMQ136" s="116"/>
      <c r="HMR136" s="116"/>
      <c r="HMS136" s="116"/>
      <c r="HMT136" s="116"/>
      <c r="HMU136" s="116"/>
      <c r="HMV136" s="116"/>
      <c r="HMW136" s="116"/>
      <c r="HMX136" s="116"/>
      <c r="HMY136" s="116"/>
      <c r="HMZ136" s="116"/>
      <c r="HNA136" s="116"/>
      <c r="HNB136" s="116"/>
      <c r="HNC136" s="118"/>
      <c r="HND136" s="118"/>
      <c r="HNE136" s="118"/>
      <c r="HNF136" s="118"/>
      <c r="HNG136" s="118"/>
      <c r="HNH136" s="118"/>
      <c r="HNI136" s="118"/>
      <c r="HNJ136" s="118"/>
      <c r="HNK136" s="118"/>
      <c r="HNL136" s="118"/>
      <c r="HNM136" s="118"/>
      <c r="HNN136" s="118"/>
      <c r="HNO136" s="118"/>
      <c r="HNP136" s="118"/>
      <c r="HNQ136" s="118"/>
      <c r="HNV136" s="118"/>
      <c r="HNW136" s="118"/>
      <c r="HNX136" s="118"/>
      <c r="HNY136" s="118"/>
      <c r="HNZ136" s="118"/>
      <c r="HOA136" s="118"/>
      <c r="HOB136" s="118"/>
      <c r="HOC136" s="118"/>
      <c r="HOD136" s="118"/>
      <c r="HOE136" s="118"/>
      <c r="HOQ136" s="82"/>
      <c r="HOT136" s="69"/>
      <c r="HOX136" s="116"/>
      <c r="HOY136" s="116"/>
      <c r="HOZ136" s="116"/>
      <c r="HPA136" s="116"/>
      <c r="HPB136" s="116"/>
      <c r="HPC136" s="116"/>
      <c r="HPD136" s="116"/>
      <c r="HPE136" s="116"/>
      <c r="HPF136" s="116"/>
      <c r="HPG136" s="116"/>
      <c r="HPH136" s="116"/>
      <c r="HPI136" s="116"/>
      <c r="HPJ136" s="116"/>
      <c r="HPK136" s="116"/>
      <c r="HPL136" s="118"/>
      <c r="HPM136" s="118"/>
      <c r="HPN136" s="118"/>
      <c r="HPO136" s="118"/>
      <c r="HPP136" s="118"/>
      <c r="HPQ136" s="118"/>
      <c r="HPR136" s="118"/>
      <c r="HPS136" s="118"/>
      <c r="HPT136" s="118"/>
      <c r="HPU136" s="118"/>
      <c r="HPV136" s="118"/>
      <c r="HPW136" s="118"/>
      <c r="HPX136" s="118"/>
      <c r="HPY136" s="118"/>
      <c r="HPZ136" s="118"/>
      <c r="HQE136" s="118"/>
      <c r="HQF136" s="118"/>
      <c r="HQG136" s="118"/>
      <c r="HQH136" s="118"/>
      <c r="HQI136" s="118"/>
      <c r="HQJ136" s="118"/>
      <c r="HQK136" s="118"/>
      <c r="HQL136" s="118"/>
      <c r="HQM136" s="118"/>
      <c r="HQN136" s="118"/>
      <c r="HQZ136" s="82"/>
      <c r="HRC136" s="69"/>
      <c r="HRG136" s="116"/>
      <c r="HRH136" s="116"/>
      <c r="HRI136" s="116"/>
      <c r="HRJ136" s="116"/>
      <c r="HRK136" s="116"/>
      <c r="HRL136" s="116"/>
      <c r="HRM136" s="116"/>
      <c r="HRN136" s="116"/>
      <c r="HRO136" s="116"/>
      <c r="HRP136" s="116"/>
      <c r="HRQ136" s="116"/>
      <c r="HRR136" s="116"/>
      <c r="HRS136" s="116"/>
      <c r="HRT136" s="116"/>
      <c r="HRU136" s="118"/>
      <c r="HRV136" s="118"/>
      <c r="HRW136" s="118"/>
      <c r="HRX136" s="118"/>
      <c r="HRY136" s="118"/>
      <c r="HRZ136" s="118"/>
      <c r="HSA136" s="118"/>
      <c r="HSB136" s="118"/>
      <c r="HSC136" s="118"/>
      <c r="HSD136" s="118"/>
      <c r="HSE136" s="118"/>
      <c r="HSF136" s="118"/>
      <c r="HSG136" s="118"/>
      <c r="HSH136" s="118"/>
      <c r="HSI136" s="118"/>
      <c r="HSN136" s="118"/>
      <c r="HSO136" s="118"/>
      <c r="HSP136" s="118"/>
      <c r="HSQ136" s="118"/>
      <c r="HSR136" s="118"/>
      <c r="HSS136" s="118"/>
      <c r="HST136" s="118"/>
      <c r="HSU136" s="118"/>
      <c r="HSV136" s="118"/>
      <c r="HSW136" s="118"/>
      <c r="HTI136" s="82"/>
      <c r="HTL136" s="69"/>
      <c r="HTP136" s="116"/>
      <c r="HTQ136" s="116"/>
      <c r="HTR136" s="116"/>
      <c r="HTS136" s="116"/>
      <c r="HTT136" s="116"/>
      <c r="HTU136" s="116"/>
      <c r="HTV136" s="116"/>
      <c r="HTW136" s="116"/>
      <c r="HTX136" s="116"/>
      <c r="HTY136" s="116"/>
      <c r="HTZ136" s="116"/>
      <c r="HUA136" s="116"/>
      <c r="HUB136" s="116"/>
      <c r="HUC136" s="116"/>
      <c r="HUD136" s="118"/>
      <c r="HUE136" s="118"/>
      <c r="HUF136" s="118"/>
      <c r="HUG136" s="118"/>
      <c r="HUH136" s="118"/>
      <c r="HUI136" s="118"/>
      <c r="HUJ136" s="118"/>
      <c r="HUK136" s="118"/>
      <c r="HUL136" s="118"/>
      <c r="HUM136" s="118"/>
      <c r="HUN136" s="118"/>
      <c r="HUO136" s="118"/>
      <c r="HUP136" s="118"/>
      <c r="HUQ136" s="118"/>
      <c r="HUR136" s="118"/>
      <c r="HUW136" s="118"/>
      <c r="HUX136" s="118"/>
      <c r="HUY136" s="118"/>
      <c r="HUZ136" s="118"/>
      <c r="HVA136" s="118"/>
      <c r="HVB136" s="118"/>
      <c r="HVC136" s="118"/>
      <c r="HVD136" s="118"/>
      <c r="HVE136" s="118"/>
      <c r="HVF136" s="118"/>
      <c r="HVR136" s="82"/>
      <c r="HVU136" s="69"/>
      <c r="HVY136" s="116"/>
      <c r="HVZ136" s="116"/>
      <c r="HWA136" s="116"/>
      <c r="HWB136" s="116"/>
      <c r="HWC136" s="116"/>
      <c r="HWD136" s="116"/>
      <c r="HWE136" s="116"/>
      <c r="HWF136" s="116"/>
      <c r="HWG136" s="116"/>
      <c r="HWH136" s="116"/>
      <c r="HWI136" s="116"/>
      <c r="HWJ136" s="116"/>
      <c r="HWK136" s="116"/>
      <c r="HWL136" s="116"/>
      <c r="HWM136" s="118"/>
      <c r="HWN136" s="118"/>
      <c r="HWO136" s="118"/>
      <c r="HWP136" s="118"/>
      <c r="HWQ136" s="118"/>
      <c r="HWR136" s="118"/>
      <c r="HWS136" s="118"/>
      <c r="HWT136" s="118"/>
      <c r="HWU136" s="118"/>
      <c r="HWV136" s="118"/>
      <c r="HWW136" s="118"/>
      <c r="HWX136" s="118"/>
      <c r="HWY136" s="118"/>
      <c r="HWZ136" s="118"/>
      <c r="HXA136" s="118"/>
      <c r="HXF136" s="118"/>
      <c r="HXG136" s="118"/>
      <c r="HXH136" s="118"/>
      <c r="HXI136" s="118"/>
      <c r="HXJ136" s="118"/>
      <c r="HXK136" s="118"/>
      <c r="HXL136" s="118"/>
      <c r="HXM136" s="118"/>
      <c r="HXN136" s="118"/>
      <c r="HXO136" s="118"/>
      <c r="HYA136" s="82"/>
      <c r="HYD136" s="69"/>
      <c r="HYH136" s="116"/>
      <c r="HYI136" s="116"/>
      <c r="HYJ136" s="116"/>
      <c r="HYK136" s="116"/>
      <c r="HYL136" s="116"/>
      <c r="HYM136" s="116"/>
      <c r="HYN136" s="116"/>
      <c r="HYO136" s="116"/>
      <c r="HYP136" s="116"/>
      <c r="HYQ136" s="116"/>
      <c r="HYR136" s="116"/>
      <c r="HYS136" s="116"/>
      <c r="HYT136" s="116"/>
      <c r="HYU136" s="116"/>
      <c r="HYV136" s="118"/>
      <c r="HYW136" s="118"/>
      <c r="HYX136" s="118"/>
      <c r="HYY136" s="118"/>
      <c r="HYZ136" s="118"/>
      <c r="HZA136" s="118"/>
      <c r="HZB136" s="118"/>
      <c r="HZC136" s="118"/>
      <c r="HZD136" s="118"/>
      <c r="HZE136" s="118"/>
      <c r="HZF136" s="118"/>
      <c r="HZG136" s="118"/>
      <c r="HZH136" s="118"/>
      <c r="HZI136" s="118"/>
      <c r="HZJ136" s="118"/>
      <c r="HZO136" s="118"/>
      <c r="HZP136" s="118"/>
      <c r="HZQ136" s="118"/>
      <c r="HZR136" s="118"/>
      <c r="HZS136" s="118"/>
      <c r="HZT136" s="118"/>
      <c r="HZU136" s="118"/>
      <c r="HZV136" s="118"/>
      <c r="HZW136" s="118"/>
      <c r="HZX136" s="118"/>
      <c r="IAJ136" s="82"/>
      <c r="IAM136" s="69"/>
      <c r="IAQ136" s="116"/>
      <c r="IAR136" s="116"/>
      <c r="IAS136" s="116"/>
      <c r="IAT136" s="116"/>
      <c r="IAU136" s="116"/>
      <c r="IAV136" s="116"/>
      <c r="IAW136" s="116"/>
      <c r="IAX136" s="116"/>
      <c r="IAY136" s="116"/>
      <c r="IAZ136" s="116"/>
      <c r="IBA136" s="116"/>
      <c r="IBB136" s="116"/>
      <c r="IBC136" s="116"/>
      <c r="IBD136" s="116"/>
      <c r="IBE136" s="118"/>
      <c r="IBF136" s="118"/>
      <c r="IBG136" s="118"/>
      <c r="IBH136" s="118"/>
      <c r="IBI136" s="118"/>
      <c r="IBJ136" s="118"/>
      <c r="IBK136" s="118"/>
      <c r="IBL136" s="118"/>
      <c r="IBM136" s="118"/>
      <c r="IBN136" s="118"/>
      <c r="IBO136" s="118"/>
      <c r="IBP136" s="118"/>
      <c r="IBQ136" s="118"/>
      <c r="IBR136" s="118"/>
      <c r="IBS136" s="118"/>
      <c r="IBX136" s="118"/>
      <c r="IBY136" s="118"/>
      <c r="IBZ136" s="118"/>
      <c r="ICA136" s="118"/>
      <c r="ICB136" s="118"/>
      <c r="ICC136" s="118"/>
      <c r="ICD136" s="118"/>
      <c r="ICE136" s="118"/>
      <c r="ICF136" s="118"/>
      <c r="ICG136" s="118"/>
      <c r="ICS136" s="82"/>
      <c r="ICV136" s="69"/>
      <c r="ICZ136" s="116"/>
      <c r="IDA136" s="116"/>
      <c r="IDB136" s="116"/>
      <c r="IDC136" s="116"/>
      <c r="IDD136" s="116"/>
      <c r="IDE136" s="116"/>
      <c r="IDF136" s="116"/>
      <c r="IDG136" s="116"/>
      <c r="IDH136" s="116"/>
      <c r="IDI136" s="116"/>
      <c r="IDJ136" s="116"/>
      <c r="IDK136" s="116"/>
      <c r="IDL136" s="116"/>
      <c r="IDM136" s="116"/>
      <c r="IDN136" s="118"/>
      <c r="IDO136" s="118"/>
      <c r="IDP136" s="118"/>
      <c r="IDQ136" s="118"/>
      <c r="IDR136" s="118"/>
      <c r="IDS136" s="118"/>
      <c r="IDT136" s="118"/>
      <c r="IDU136" s="118"/>
      <c r="IDV136" s="118"/>
      <c r="IDW136" s="118"/>
      <c r="IDX136" s="118"/>
      <c r="IDY136" s="118"/>
      <c r="IDZ136" s="118"/>
      <c r="IEA136" s="118"/>
      <c r="IEB136" s="118"/>
      <c r="IEG136" s="118"/>
      <c r="IEH136" s="118"/>
      <c r="IEI136" s="118"/>
      <c r="IEJ136" s="118"/>
      <c r="IEK136" s="118"/>
      <c r="IEL136" s="118"/>
      <c r="IEM136" s="118"/>
      <c r="IEN136" s="118"/>
      <c r="IEO136" s="118"/>
      <c r="IEP136" s="118"/>
      <c r="IFB136" s="82"/>
      <c r="IFE136" s="69"/>
      <c r="IFI136" s="116"/>
      <c r="IFJ136" s="116"/>
      <c r="IFK136" s="116"/>
      <c r="IFL136" s="116"/>
      <c r="IFM136" s="116"/>
      <c r="IFN136" s="116"/>
      <c r="IFO136" s="116"/>
      <c r="IFP136" s="116"/>
      <c r="IFQ136" s="116"/>
      <c r="IFR136" s="116"/>
      <c r="IFS136" s="116"/>
      <c r="IFT136" s="116"/>
      <c r="IFU136" s="116"/>
      <c r="IFV136" s="116"/>
      <c r="IFW136" s="118"/>
      <c r="IFX136" s="118"/>
      <c r="IFY136" s="118"/>
      <c r="IFZ136" s="118"/>
      <c r="IGA136" s="118"/>
      <c r="IGB136" s="118"/>
      <c r="IGC136" s="118"/>
      <c r="IGD136" s="118"/>
      <c r="IGE136" s="118"/>
      <c r="IGF136" s="118"/>
      <c r="IGG136" s="118"/>
      <c r="IGH136" s="118"/>
      <c r="IGI136" s="118"/>
      <c r="IGJ136" s="118"/>
      <c r="IGK136" s="118"/>
      <c r="IGP136" s="118"/>
      <c r="IGQ136" s="118"/>
      <c r="IGR136" s="118"/>
      <c r="IGS136" s="118"/>
      <c r="IGT136" s="118"/>
      <c r="IGU136" s="118"/>
      <c r="IGV136" s="118"/>
      <c r="IGW136" s="118"/>
      <c r="IGX136" s="118"/>
      <c r="IGY136" s="118"/>
      <c r="IHK136" s="82"/>
      <c r="IHN136" s="69"/>
      <c r="IHR136" s="116"/>
      <c r="IHS136" s="116"/>
      <c r="IHT136" s="116"/>
      <c r="IHU136" s="116"/>
      <c r="IHV136" s="116"/>
      <c r="IHW136" s="116"/>
      <c r="IHX136" s="116"/>
      <c r="IHY136" s="116"/>
      <c r="IHZ136" s="116"/>
      <c r="IIA136" s="116"/>
      <c r="IIB136" s="116"/>
      <c r="IIC136" s="116"/>
      <c r="IID136" s="116"/>
      <c r="IIE136" s="116"/>
      <c r="IIF136" s="118"/>
      <c r="IIG136" s="118"/>
      <c r="IIH136" s="118"/>
      <c r="III136" s="118"/>
      <c r="IIJ136" s="118"/>
      <c r="IIK136" s="118"/>
      <c r="IIL136" s="118"/>
      <c r="IIM136" s="118"/>
      <c r="IIN136" s="118"/>
      <c r="IIO136" s="118"/>
      <c r="IIP136" s="118"/>
      <c r="IIQ136" s="118"/>
      <c r="IIR136" s="118"/>
      <c r="IIS136" s="118"/>
      <c r="IIT136" s="118"/>
      <c r="IIY136" s="118"/>
      <c r="IIZ136" s="118"/>
      <c r="IJA136" s="118"/>
      <c r="IJB136" s="118"/>
      <c r="IJC136" s="118"/>
      <c r="IJD136" s="118"/>
      <c r="IJE136" s="118"/>
      <c r="IJF136" s="118"/>
      <c r="IJG136" s="118"/>
      <c r="IJH136" s="118"/>
      <c r="IJT136" s="82"/>
      <c r="IJW136" s="69"/>
      <c r="IKA136" s="116"/>
      <c r="IKB136" s="116"/>
      <c r="IKC136" s="116"/>
      <c r="IKD136" s="116"/>
      <c r="IKE136" s="116"/>
      <c r="IKF136" s="116"/>
      <c r="IKG136" s="116"/>
      <c r="IKH136" s="116"/>
      <c r="IKI136" s="116"/>
      <c r="IKJ136" s="116"/>
      <c r="IKK136" s="116"/>
      <c r="IKL136" s="116"/>
      <c r="IKM136" s="116"/>
      <c r="IKN136" s="116"/>
      <c r="IKO136" s="118"/>
      <c r="IKP136" s="118"/>
      <c r="IKQ136" s="118"/>
      <c r="IKR136" s="118"/>
      <c r="IKS136" s="118"/>
      <c r="IKT136" s="118"/>
      <c r="IKU136" s="118"/>
      <c r="IKV136" s="118"/>
      <c r="IKW136" s="118"/>
      <c r="IKX136" s="118"/>
      <c r="IKY136" s="118"/>
      <c r="IKZ136" s="118"/>
      <c r="ILA136" s="118"/>
      <c r="ILB136" s="118"/>
      <c r="ILC136" s="118"/>
      <c r="ILH136" s="118"/>
      <c r="ILI136" s="118"/>
      <c r="ILJ136" s="118"/>
      <c r="ILK136" s="118"/>
      <c r="ILL136" s="118"/>
      <c r="ILM136" s="118"/>
      <c r="ILN136" s="118"/>
      <c r="ILO136" s="118"/>
      <c r="ILP136" s="118"/>
      <c r="ILQ136" s="118"/>
      <c r="IMC136" s="82"/>
      <c r="IMF136" s="69"/>
      <c r="IMJ136" s="116"/>
      <c r="IMK136" s="116"/>
      <c r="IML136" s="116"/>
      <c r="IMM136" s="116"/>
      <c r="IMN136" s="116"/>
      <c r="IMO136" s="116"/>
      <c r="IMP136" s="116"/>
      <c r="IMQ136" s="116"/>
      <c r="IMR136" s="116"/>
      <c r="IMS136" s="116"/>
      <c r="IMT136" s="116"/>
      <c r="IMU136" s="116"/>
      <c r="IMV136" s="116"/>
      <c r="IMW136" s="116"/>
      <c r="IMX136" s="118"/>
      <c r="IMY136" s="118"/>
      <c r="IMZ136" s="118"/>
      <c r="INA136" s="118"/>
      <c r="INB136" s="118"/>
      <c r="INC136" s="118"/>
      <c r="IND136" s="118"/>
      <c r="INE136" s="118"/>
      <c r="INF136" s="118"/>
      <c r="ING136" s="118"/>
      <c r="INH136" s="118"/>
      <c r="INI136" s="118"/>
      <c r="INJ136" s="118"/>
      <c r="INK136" s="118"/>
      <c r="INL136" s="118"/>
      <c r="INQ136" s="118"/>
      <c r="INR136" s="118"/>
      <c r="INS136" s="118"/>
      <c r="INT136" s="118"/>
      <c r="INU136" s="118"/>
      <c r="INV136" s="118"/>
      <c r="INW136" s="118"/>
      <c r="INX136" s="118"/>
      <c r="INY136" s="118"/>
      <c r="INZ136" s="118"/>
      <c r="IOL136" s="82"/>
      <c r="IOO136" s="69"/>
      <c r="IOS136" s="116"/>
      <c r="IOT136" s="116"/>
      <c r="IOU136" s="116"/>
      <c r="IOV136" s="116"/>
      <c r="IOW136" s="116"/>
      <c r="IOX136" s="116"/>
      <c r="IOY136" s="116"/>
      <c r="IOZ136" s="116"/>
      <c r="IPA136" s="116"/>
      <c r="IPB136" s="116"/>
      <c r="IPC136" s="116"/>
      <c r="IPD136" s="116"/>
      <c r="IPE136" s="116"/>
      <c r="IPF136" s="116"/>
      <c r="IPG136" s="118"/>
      <c r="IPH136" s="118"/>
      <c r="IPI136" s="118"/>
      <c r="IPJ136" s="118"/>
      <c r="IPK136" s="118"/>
      <c r="IPL136" s="118"/>
      <c r="IPM136" s="118"/>
      <c r="IPN136" s="118"/>
      <c r="IPO136" s="118"/>
      <c r="IPP136" s="118"/>
      <c r="IPQ136" s="118"/>
      <c r="IPR136" s="118"/>
      <c r="IPS136" s="118"/>
      <c r="IPT136" s="118"/>
      <c r="IPU136" s="118"/>
      <c r="IPZ136" s="118"/>
      <c r="IQA136" s="118"/>
      <c r="IQB136" s="118"/>
      <c r="IQC136" s="118"/>
      <c r="IQD136" s="118"/>
      <c r="IQE136" s="118"/>
      <c r="IQF136" s="118"/>
      <c r="IQG136" s="118"/>
      <c r="IQH136" s="118"/>
      <c r="IQI136" s="118"/>
      <c r="IQU136" s="82"/>
      <c r="IQX136" s="69"/>
      <c r="IRB136" s="116"/>
      <c r="IRC136" s="116"/>
      <c r="IRD136" s="116"/>
      <c r="IRE136" s="116"/>
      <c r="IRF136" s="116"/>
      <c r="IRG136" s="116"/>
      <c r="IRH136" s="116"/>
      <c r="IRI136" s="116"/>
      <c r="IRJ136" s="116"/>
      <c r="IRK136" s="116"/>
      <c r="IRL136" s="116"/>
      <c r="IRM136" s="116"/>
      <c r="IRN136" s="116"/>
      <c r="IRO136" s="116"/>
      <c r="IRP136" s="118"/>
      <c r="IRQ136" s="118"/>
      <c r="IRR136" s="118"/>
      <c r="IRS136" s="118"/>
      <c r="IRT136" s="118"/>
      <c r="IRU136" s="118"/>
      <c r="IRV136" s="118"/>
      <c r="IRW136" s="118"/>
      <c r="IRX136" s="118"/>
      <c r="IRY136" s="118"/>
      <c r="IRZ136" s="118"/>
      <c r="ISA136" s="118"/>
      <c r="ISB136" s="118"/>
      <c r="ISC136" s="118"/>
      <c r="ISD136" s="118"/>
      <c r="ISI136" s="118"/>
      <c r="ISJ136" s="118"/>
      <c r="ISK136" s="118"/>
      <c r="ISL136" s="118"/>
      <c r="ISM136" s="118"/>
      <c r="ISN136" s="118"/>
      <c r="ISO136" s="118"/>
      <c r="ISP136" s="118"/>
      <c r="ISQ136" s="118"/>
      <c r="ISR136" s="118"/>
      <c r="ITD136" s="82"/>
      <c r="ITG136" s="69"/>
      <c r="ITK136" s="116"/>
      <c r="ITL136" s="116"/>
      <c r="ITM136" s="116"/>
      <c r="ITN136" s="116"/>
      <c r="ITO136" s="116"/>
      <c r="ITP136" s="116"/>
      <c r="ITQ136" s="116"/>
      <c r="ITR136" s="116"/>
      <c r="ITS136" s="116"/>
      <c r="ITT136" s="116"/>
      <c r="ITU136" s="116"/>
      <c r="ITV136" s="116"/>
      <c r="ITW136" s="116"/>
      <c r="ITX136" s="116"/>
      <c r="ITY136" s="118"/>
      <c r="ITZ136" s="118"/>
      <c r="IUA136" s="118"/>
      <c r="IUB136" s="118"/>
      <c r="IUC136" s="118"/>
      <c r="IUD136" s="118"/>
      <c r="IUE136" s="118"/>
      <c r="IUF136" s="118"/>
      <c r="IUG136" s="118"/>
      <c r="IUH136" s="118"/>
      <c r="IUI136" s="118"/>
      <c r="IUJ136" s="118"/>
      <c r="IUK136" s="118"/>
      <c r="IUL136" s="118"/>
      <c r="IUM136" s="118"/>
      <c r="IUR136" s="118"/>
      <c r="IUS136" s="118"/>
      <c r="IUT136" s="118"/>
      <c r="IUU136" s="118"/>
      <c r="IUV136" s="118"/>
      <c r="IUW136" s="118"/>
      <c r="IUX136" s="118"/>
      <c r="IUY136" s="118"/>
      <c r="IUZ136" s="118"/>
      <c r="IVA136" s="118"/>
      <c r="IVM136" s="82"/>
      <c r="IVP136" s="69"/>
      <c r="IVT136" s="116"/>
      <c r="IVU136" s="116"/>
      <c r="IVV136" s="116"/>
      <c r="IVW136" s="116"/>
      <c r="IVX136" s="116"/>
      <c r="IVY136" s="116"/>
      <c r="IVZ136" s="116"/>
      <c r="IWA136" s="116"/>
      <c r="IWB136" s="116"/>
      <c r="IWC136" s="116"/>
      <c r="IWD136" s="116"/>
      <c r="IWE136" s="116"/>
      <c r="IWF136" s="116"/>
      <c r="IWG136" s="116"/>
      <c r="IWH136" s="118"/>
      <c r="IWI136" s="118"/>
      <c r="IWJ136" s="118"/>
      <c r="IWK136" s="118"/>
      <c r="IWL136" s="118"/>
      <c r="IWM136" s="118"/>
      <c r="IWN136" s="118"/>
      <c r="IWO136" s="118"/>
      <c r="IWP136" s="118"/>
      <c r="IWQ136" s="118"/>
      <c r="IWR136" s="118"/>
      <c r="IWS136" s="118"/>
      <c r="IWT136" s="118"/>
      <c r="IWU136" s="118"/>
      <c r="IWV136" s="118"/>
      <c r="IXA136" s="118"/>
      <c r="IXB136" s="118"/>
      <c r="IXC136" s="118"/>
      <c r="IXD136" s="118"/>
      <c r="IXE136" s="118"/>
      <c r="IXF136" s="118"/>
      <c r="IXG136" s="118"/>
      <c r="IXH136" s="118"/>
      <c r="IXI136" s="118"/>
      <c r="IXJ136" s="118"/>
      <c r="IXV136" s="82"/>
      <c r="IXY136" s="69"/>
      <c r="IYC136" s="116"/>
      <c r="IYD136" s="116"/>
      <c r="IYE136" s="116"/>
      <c r="IYF136" s="116"/>
      <c r="IYG136" s="116"/>
      <c r="IYH136" s="116"/>
      <c r="IYI136" s="116"/>
      <c r="IYJ136" s="116"/>
      <c r="IYK136" s="116"/>
      <c r="IYL136" s="116"/>
      <c r="IYM136" s="116"/>
      <c r="IYN136" s="116"/>
      <c r="IYO136" s="116"/>
      <c r="IYP136" s="116"/>
      <c r="IYQ136" s="118"/>
      <c r="IYR136" s="118"/>
      <c r="IYS136" s="118"/>
      <c r="IYT136" s="118"/>
      <c r="IYU136" s="118"/>
      <c r="IYV136" s="118"/>
      <c r="IYW136" s="118"/>
      <c r="IYX136" s="118"/>
      <c r="IYY136" s="118"/>
      <c r="IYZ136" s="118"/>
      <c r="IZA136" s="118"/>
      <c r="IZB136" s="118"/>
      <c r="IZC136" s="118"/>
      <c r="IZD136" s="118"/>
      <c r="IZE136" s="118"/>
      <c r="IZJ136" s="118"/>
      <c r="IZK136" s="118"/>
      <c r="IZL136" s="118"/>
      <c r="IZM136" s="118"/>
      <c r="IZN136" s="118"/>
      <c r="IZO136" s="118"/>
      <c r="IZP136" s="118"/>
      <c r="IZQ136" s="118"/>
      <c r="IZR136" s="118"/>
      <c r="IZS136" s="118"/>
      <c r="JAE136" s="82"/>
      <c r="JAH136" s="69"/>
      <c r="JAL136" s="116"/>
      <c r="JAM136" s="116"/>
      <c r="JAN136" s="116"/>
      <c r="JAO136" s="116"/>
      <c r="JAP136" s="116"/>
      <c r="JAQ136" s="116"/>
      <c r="JAR136" s="116"/>
      <c r="JAS136" s="116"/>
      <c r="JAT136" s="116"/>
      <c r="JAU136" s="116"/>
      <c r="JAV136" s="116"/>
      <c r="JAW136" s="116"/>
      <c r="JAX136" s="116"/>
      <c r="JAY136" s="116"/>
      <c r="JAZ136" s="118"/>
      <c r="JBA136" s="118"/>
      <c r="JBB136" s="118"/>
      <c r="JBC136" s="118"/>
      <c r="JBD136" s="118"/>
      <c r="JBE136" s="118"/>
      <c r="JBF136" s="118"/>
      <c r="JBG136" s="118"/>
      <c r="JBH136" s="118"/>
      <c r="JBI136" s="118"/>
      <c r="JBJ136" s="118"/>
      <c r="JBK136" s="118"/>
      <c r="JBL136" s="118"/>
      <c r="JBM136" s="118"/>
      <c r="JBN136" s="118"/>
      <c r="JBS136" s="118"/>
      <c r="JBT136" s="118"/>
      <c r="JBU136" s="118"/>
      <c r="JBV136" s="118"/>
      <c r="JBW136" s="118"/>
      <c r="JBX136" s="118"/>
      <c r="JBY136" s="118"/>
      <c r="JBZ136" s="118"/>
      <c r="JCA136" s="118"/>
      <c r="JCB136" s="118"/>
      <c r="JCN136" s="82"/>
      <c r="JCQ136" s="69"/>
      <c r="JCU136" s="116"/>
      <c r="JCV136" s="116"/>
      <c r="JCW136" s="116"/>
      <c r="JCX136" s="116"/>
      <c r="JCY136" s="116"/>
      <c r="JCZ136" s="116"/>
      <c r="JDA136" s="116"/>
      <c r="JDB136" s="116"/>
      <c r="JDC136" s="116"/>
      <c r="JDD136" s="116"/>
      <c r="JDE136" s="116"/>
      <c r="JDF136" s="116"/>
      <c r="JDG136" s="116"/>
      <c r="JDH136" s="116"/>
      <c r="JDI136" s="118"/>
      <c r="JDJ136" s="118"/>
      <c r="JDK136" s="118"/>
      <c r="JDL136" s="118"/>
      <c r="JDM136" s="118"/>
      <c r="JDN136" s="118"/>
      <c r="JDO136" s="118"/>
      <c r="JDP136" s="118"/>
      <c r="JDQ136" s="118"/>
      <c r="JDR136" s="118"/>
      <c r="JDS136" s="118"/>
      <c r="JDT136" s="118"/>
      <c r="JDU136" s="118"/>
      <c r="JDV136" s="118"/>
      <c r="JDW136" s="118"/>
      <c r="JEB136" s="118"/>
      <c r="JEC136" s="118"/>
      <c r="JED136" s="118"/>
      <c r="JEE136" s="118"/>
      <c r="JEF136" s="118"/>
      <c r="JEG136" s="118"/>
      <c r="JEH136" s="118"/>
      <c r="JEI136" s="118"/>
      <c r="JEJ136" s="118"/>
      <c r="JEK136" s="118"/>
      <c r="JEW136" s="82"/>
      <c r="JEZ136" s="69"/>
      <c r="JFD136" s="116"/>
      <c r="JFE136" s="116"/>
      <c r="JFF136" s="116"/>
      <c r="JFG136" s="116"/>
      <c r="JFH136" s="116"/>
      <c r="JFI136" s="116"/>
      <c r="JFJ136" s="116"/>
      <c r="JFK136" s="116"/>
      <c r="JFL136" s="116"/>
      <c r="JFM136" s="116"/>
      <c r="JFN136" s="116"/>
      <c r="JFO136" s="116"/>
      <c r="JFP136" s="116"/>
      <c r="JFQ136" s="116"/>
      <c r="JFR136" s="118"/>
      <c r="JFS136" s="118"/>
      <c r="JFT136" s="118"/>
      <c r="JFU136" s="118"/>
      <c r="JFV136" s="118"/>
      <c r="JFW136" s="118"/>
      <c r="JFX136" s="118"/>
      <c r="JFY136" s="118"/>
      <c r="JFZ136" s="118"/>
      <c r="JGA136" s="118"/>
      <c r="JGB136" s="118"/>
      <c r="JGC136" s="118"/>
      <c r="JGD136" s="118"/>
      <c r="JGE136" s="118"/>
      <c r="JGF136" s="118"/>
      <c r="JGK136" s="118"/>
      <c r="JGL136" s="118"/>
      <c r="JGM136" s="118"/>
      <c r="JGN136" s="118"/>
      <c r="JGO136" s="118"/>
      <c r="JGP136" s="118"/>
      <c r="JGQ136" s="118"/>
      <c r="JGR136" s="118"/>
      <c r="JGS136" s="118"/>
      <c r="JGT136" s="118"/>
      <c r="JHF136" s="82"/>
      <c r="JHI136" s="69"/>
      <c r="JHM136" s="116"/>
      <c r="JHN136" s="116"/>
      <c r="JHO136" s="116"/>
      <c r="JHP136" s="116"/>
      <c r="JHQ136" s="116"/>
      <c r="JHR136" s="116"/>
      <c r="JHS136" s="116"/>
      <c r="JHT136" s="116"/>
      <c r="JHU136" s="116"/>
      <c r="JHV136" s="116"/>
      <c r="JHW136" s="116"/>
      <c r="JHX136" s="116"/>
      <c r="JHY136" s="116"/>
      <c r="JHZ136" s="116"/>
      <c r="JIA136" s="118"/>
      <c r="JIB136" s="118"/>
      <c r="JIC136" s="118"/>
      <c r="JID136" s="118"/>
      <c r="JIE136" s="118"/>
      <c r="JIF136" s="118"/>
      <c r="JIG136" s="118"/>
      <c r="JIH136" s="118"/>
      <c r="JII136" s="118"/>
      <c r="JIJ136" s="118"/>
      <c r="JIK136" s="118"/>
      <c r="JIL136" s="118"/>
      <c r="JIM136" s="118"/>
      <c r="JIN136" s="118"/>
      <c r="JIO136" s="118"/>
      <c r="JIT136" s="118"/>
      <c r="JIU136" s="118"/>
      <c r="JIV136" s="118"/>
      <c r="JIW136" s="118"/>
      <c r="JIX136" s="118"/>
      <c r="JIY136" s="118"/>
      <c r="JIZ136" s="118"/>
      <c r="JJA136" s="118"/>
      <c r="JJB136" s="118"/>
      <c r="JJC136" s="118"/>
      <c r="JJO136" s="82"/>
      <c r="JJR136" s="69"/>
      <c r="JJV136" s="116"/>
      <c r="JJW136" s="116"/>
      <c r="JJX136" s="116"/>
      <c r="JJY136" s="116"/>
      <c r="JJZ136" s="116"/>
      <c r="JKA136" s="116"/>
      <c r="JKB136" s="116"/>
      <c r="JKC136" s="116"/>
      <c r="JKD136" s="116"/>
      <c r="JKE136" s="116"/>
      <c r="JKF136" s="116"/>
      <c r="JKG136" s="116"/>
      <c r="JKH136" s="116"/>
      <c r="JKI136" s="116"/>
      <c r="JKJ136" s="118"/>
      <c r="JKK136" s="118"/>
      <c r="JKL136" s="118"/>
      <c r="JKM136" s="118"/>
      <c r="JKN136" s="118"/>
      <c r="JKO136" s="118"/>
      <c r="JKP136" s="118"/>
      <c r="JKQ136" s="118"/>
      <c r="JKR136" s="118"/>
      <c r="JKS136" s="118"/>
      <c r="JKT136" s="118"/>
      <c r="JKU136" s="118"/>
      <c r="JKV136" s="118"/>
      <c r="JKW136" s="118"/>
      <c r="JKX136" s="118"/>
      <c r="JLC136" s="118"/>
      <c r="JLD136" s="118"/>
      <c r="JLE136" s="118"/>
      <c r="JLF136" s="118"/>
      <c r="JLG136" s="118"/>
      <c r="JLH136" s="118"/>
      <c r="JLI136" s="118"/>
      <c r="JLJ136" s="118"/>
      <c r="JLK136" s="118"/>
      <c r="JLL136" s="118"/>
      <c r="JLX136" s="82"/>
      <c r="JMA136" s="69"/>
      <c r="JME136" s="116"/>
      <c r="JMF136" s="116"/>
      <c r="JMG136" s="116"/>
      <c r="JMH136" s="116"/>
      <c r="JMI136" s="116"/>
      <c r="JMJ136" s="116"/>
      <c r="JMK136" s="116"/>
      <c r="JML136" s="116"/>
      <c r="JMM136" s="116"/>
      <c r="JMN136" s="116"/>
      <c r="JMO136" s="116"/>
      <c r="JMP136" s="116"/>
      <c r="JMQ136" s="116"/>
      <c r="JMR136" s="116"/>
      <c r="JMS136" s="118"/>
      <c r="JMT136" s="118"/>
      <c r="JMU136" s="118"/>
      <c r="JMV136" s="118"/>
      <c r="JMW136" s="118"/>
      <c r="JMX136" s="118"/>
      <c r="JMY136" s="118"/>
      <c r="JMZ136" s="118"/>
      <c r="JNA136" s="118"/>
      <c r="JNB136" s="118"/>
      <c r="JNC136" s="118"/>
      <c r="JND136" s="118"/>
      <c r="JNE136" s="118"/>
      <c r="JNF136" s="118"/>
      <c r="JNG136" s="118"/>
      <c r="JNL136" s="118"/>
      <c r="JNM136" s="118"/>
      <c r="JNN136" s="118"/>
      <c r="JNO136" s="118"/>
      <c r="JNP136" s="118"/>
      <c r="JNQ136" s="118"/>
      <c r="JNR136" s="118"/>
      <c r="JNS136" s="118"/>
      <c r="JNT136" s="118"/>
      <c r="JNU136" s="118"/>
      <c r="JOG136" s="82"/>
      <c r="JOJ136" s="69"/>
      <c r="JON136" s="116"/>
      <c r="JOO136" s="116"/>
      <c r="JOP136" s="116"/>
      <c r="JOQ136" s="116"/>
      <c r="JOR136" s="116"/>
      <c r="JOS136" s="116"/>
      <c r="JOT136" s="116"/>
      <c r="JOU136" s="116"/>
      <c r="JOV136" s="116"/>
      <c r="JOW136" s="116"/>
      <c r="JOX136" s="116"/>
      <c r="JOY136" s="116"/>
      <c r="JOZ136" s="116"/>
      <c r="JPA136" s="116"/>
      <c r="JPB136" s="118"/>
      <c r="JPC136" s="118"/>
      <c r="JPD136" s="118"/>
      <c r="JPE136" s="118"/>
      <c r="JPF136" s="118"/>
      <c r="JPG136" s="118"/>
      <c r="JPH136" s="118"/>
      <c r="JPI136" s="118"/>
      <c r="JPJ136" s="118"/>
      <c r="JPK136" s="118"/>
      <c r="JPL136" s="118"/>
      <c r="JPM136" s="118"/>
      <c r="JPN136" s="118"/>
      <c r="JPO136" s="118"/>
      <c r="JPP136" s="118"/>
      <c r="JPU136" s="118"/>
      <c r="JPV136" s="118"/>
      <c r="JPW136" s="118"/>
      <c r="JPX136" s="118"/>
      <c r="JPY136" s="118"/>
      <c r="JPZ136" s="118"/>
      <c r="JQA136" s="118"/>
      <c r="JQB136" s="118"/>
      <c r="JQC136" s="118"/>
      <c r="JQD136" s="118"/>
      <c r="JQP136" s="82"/>
      <c r="JQS136" s="69"/>
      <c r="JQW136" s="116"/>
      <c r="JQX136" s="116"/>
      <c r="JQY136" s="116"/>
      <c r="JQZ136" s="116"/>
      <c r="JRA136" s="116"/>
      <c r="JRB136" s="116"/>
      <c r="JRC136" s="116"/>
      <c r="JRD136" s="116"/>
      <c r="JRE136" s="116"/>
      <c r="JRF136" s="116"/>
      <c r="JRG136" s="116"/>
      <c r="JRH136" s="116"/>
      <c r="JRI136" s="116"/>
      <c r="JRJ136" s="116"/>
      <c r="JRK136" s="118"/>
      <c r="JRL136" s="118"/>
      <c r="JRM136" s="118"/>
      <c r="JRN136" s="118"/>
      <c r="JRO136" s="118"/>
      <c r="JRP136" s="118"/>
      <c r="JRQ136" s="118"/>
      <c r="JRR136" s="118"/>
      <c r="JRS136" s="118"/>
      <c r="JRT136" s="118"/>
      <c r="JRU136" s="118"/>
      <c r="JRV136" s="118"/>
      <c r="JRW136" s="118"/>
      <c r="JRX136" s="118"/>
      <c r="JRY136" s="118"/>
      <c r="JSD136" s="118"/>
      <c r="JSE136" s="118"/>
      <c r="JSF136" s="118"/>
      <c r="JSG136" s="118"/>
      <c r="JSH136" s="118"/>
      <c r="JSI136" s="118"/>
      <c r="JSJ136" s="118"/>
      <c r="JSK136" s="118"/>
      <c r="JSL136" s="118"/>
      <c r="JSM136" s="118"/>
      <c r="JSY136" s="82"/>
      <c r="JTB136" s="69"/>
      <c r="JTF136" s="116"/>
      <c r="JTG136" s="116"/>
      <c r="JTH136" s="116"/>
      <c r="JTI136" s="116"/>
      <c r="JTJ136" s="116"/>
      <c r="JTK136" s="116"/>
      <c r="JTL136" s="116"/>
      <c r="JTM136" s="116"/>
      <c r="JTN136" s="116"/>
      <c r="JTO136" s="116"/>
      <c r="JTP136" s="116"/>
      <c r="JTQ136" s="116"/>
      <c r="JTR136" s="116"/>
      <c r="JTS136" s="116"/>
      <c r="JTT136" s="118"/>
      <c r="JTU136" s="118"/>
      <c r="JTV136" s="118"/>
      <c r="JTW136" s="118"/>
      <c r="JTX136" s="118"/>
      <c r="JTY136" s="118"/>
      <c r="JTZ136" s="118"/>
      <c r="JUA136" s="118"/>
      <c r="JUB136" s="118"/>
      <c r="JUC136" s="118"/>
      <c r="JUD136" s="118"/>
      <c r="JUE136" s="118"/>
      <c r="JUF136" s="118"/>
      <c r="JUG136" s="118"/>
      <c r="JUH136" s="118"/>
      <c r="JUM136" s="118"/>
      <c r="JUN136" s="118"/>
      <c r="JUO136" s="118"/>
      <c r="JUP136" s="118"/>
      <c r="JUQ136" s="118"/>
      <c r="JUR136" s="118"/>
      <c r="JUS136" s="118"/>
      <c r="JUT136" s="118"/>
      <c r="JUU136" s="118"/>
      <c r="JUV136" s="118"/>
      <c r="JVH136" s="82"/>
      <c r="JVK136" s="69"/>
      <c r="JVO136" s="116"/>
      <c r="JVP136" s="116"/>
      <c r="JVQ136" s="116"/>
      <c r="JVR136" s="116"/>
      <c r="JVS136" s="116"/>
      <c r="JVT136" s="116"/>
      <c r="JVU136" s="116"/>
      <c r="JVV136" s="116"/>
      <c r="JVW136" s="116"/>
      <c r="JVX136" s="116"/>
      <c r="JVY136" s="116"/>
      <c r="JVZ136" s="116"/>
      <c r="JWA136" s="116"/>
      <c r="JWB136" s="116"/>
      <c r="JWC136" s="118"/>
      <c r="JWD136" s="118"/>
      <c r="JWE136" s="118"/>
      <c r="JWF136" s="118"/>
      <c r="JWG136" s="118"/>
      <c r="JWH136" s="118"/>
      <c r="JWI136" s="118"/>
      <c r="JWJ136" s="118"/>
      <c r="JWK136" s="118"/>
      <c r="JWL136" s="118"/>
      <c r="JWM136" s="118"/>
      <c r="JWN136" s="118"/>
      <c r="JWO136" s="118"/>
      <c r="JWP136" s="118"/>
      <c r="JWQ136" s="118"/>
      <c r="JWV136" s="118"/>
      <c r="JWW136" s="118"/>
      <c r="JWX136" s="118"/>
      <c r="JWY136" s="118"/>
      <c r="JWZ136" s="118"/>
      <c r="JXA136" s="118"/>
      <c r="JXB136" s="118"/>
      <c r="JXC136" s="118"/>
      <c r="JXD136" s="118"/>
      <c r="JXE136" s="118"/>
      <c r="JXQ136" s="82"/>
      <c r="JXT136" s="69"/>
      <c r="JXX136" s="116"/>
      <c r="JXY136" s="116"/>
      <c r="JXZ136" s="116"/>
      <c r="JYA136" s="116"/>
      <c r="JYB136" s="116"/>
      <c r="JYC136" s="116"/>
      <c r="JYD136" s="116"/>
      <c r="JYE136" s="116"/>
      <c r="JYF136" s="116"/>
      <c r="JYG136" s="116"/>
      <c r="JYH136" s="116"/>
      <c r="JYI136" s="116"/>
      <c r="JYJ136" s="116"/>
      <c r="JYK136" s="116"/>
      <c r="JYL136" s="118"/>
      <c r="JYM136" s="118"/>
      <c r="JYN136" s="118"/>
      <c r="JYO136" s="118"/>
      <c r="JYP136" s="118"/>
      <c r="JYQ136" s="118"/>
      <c r="JYR136" s="118"/>
      <c r="JYS136" s="118"/>
      <c r="JYT136" s="118"/>
      <c r="JYU136" s="118"/>
      <c r="JYV136" s="118"/>
      <c r="JYW136" s="118"/>
      <c r="JYX136" s="118"/>
      <c r="JYY136" s="118"/>
      <c r="JYZ136" s="118"/>
      <c r="JZE136" s="118"/>
      <c r="JZF136" s="118"/>
      <c r="JZG136" s="118"/>
      <c r="JZH136" s="118"/>
      <c r="JZI136" s="118"/>
      <c r="JZJ136" s="118"/>
      <c r="JZK136" s="118"/>
      <c r="JZL136" s="118"/>
      <c r="JZM136" s="118"/>
      <c r="JZN136" s="118"/>
      <c r="JZZ136" s="82"/>
      <c r="KAC136" s="69"/>
      <c r="KAG136" s="116"/>
      <c r="KAH136" s="116"/>
      <c r="KAI136" s="116"/>
      <c r="KAJ136" s="116"/>
      <c r="KAK136" s="116"/>
      <c r="KAL136" s="116"/>
      <c r="KAM136" s="116"/>
      <c r="KAN136" s="116"/>
      <c r="KAO136" s="116"/>
      <c r="KAP136" s="116"/>
      <c r="KAQ136" s="116"/>
      <c r="KAR136" s="116"/>
      <c r="KAS136" s="116"/>
      <c r="KAT136" s="116"/>
      <c r="KAU136" s="118"/>
      <c r="KAV136" s="118"/>
      <c r="KAW136" s="118"/>
      <c r="KAX136" s="118"/>
      <c r="KAY136" s="118"/>
      <c r="KAZ136" s="118"/>
      <c r="KBA136" s="118"/>
      <c r="KBB136" s="118"/>
      <c r="KBC136" s="118"/>
      <c r="KBD136" s="118"/>
      <c r="KBE136" s="118"/>
      <c r="KBF136" s="118"/>
      <c r="KBG136" s="118"/>
      <c r="KBH136" s="118"/>
      <c r="KBI136" s="118"/>
      <c r="KBN136" s="118"/>
      <c r="KBO136" s="118"/>
      <c r="KBP136" s="118"/>
      <c r="KBQ136" s="118"/>
      <c r="KBR136" s="118"/>
      <c r="KBS136" s="118"/>
      <c r="KBT136" s="118"/>
      <c r="KBU136" s="118"/>
      <c r="KBV136" s="118"/>
      <c r="KBW136" s="118"/>
      <c r="KCI136" s="82"/>
      <c r="KCL136" s="69"/>
      <c r="KCP136" s="116"/>
      <c r="KCQ136" s="116"/>
      <c r="KCR136" s="116"/>
      <c r="KCS136" s="116"/>
      <c r="KCT136" s="116"/>
      <c r="KCU136" s="116"/>
      <c r="KCV136" s="116"/>
      <c r="KCW136" s="116"/>
      <c r="KCX136" s="116"/>
      <c r="KCY136" s="116"/>
      <c r="KCZ136" s="116"/>
      <c r="KDA136" s="116"/>
      <c r="KDB136" s="116"/>
      <c r="KDC136" s="116"/>
      <c r="KDD136" s="118"/>
      <c r="KDE136" s="118"/>
      <c r="KDF136" s="118"/>
      <c r="KDG136" s="118"/>
      <c r="KDH136" s="118"/>
      <c r="KDI136" s="118"/>
      <c r="KDJ136" s="118"/>
      <c r="KDK136" s="118"/>
      <c r="KDL136" s="118"/>
      <c r="KDM136" s="118"/>
      <c r="KDN136" s="118"/>
      <c r="KDO136" s="118"/>
      <c r="KDP136" s="118"/>
      <c r="KDQ136" s="118"/>
      <c r="KDR136" s="118"/>
      <c r="KDW136" s="118"/>
      <c r="KDX136" s="118"/>
      <c r="KDY136" s="118"/>
      <c r="KDZ136" s="118"/>
      <c r="KEA136" s="118"/>
      <c r="KEB136" s="118"/>
      <c r="KEC136" s="118"/>
      <c r="KED136" s="118"/>
      <c r="KEE136" s="118"/>
      <c r="KEF136" s="118"/>
      <c r="KER136" s="82"/>
      <c r="KEU136" s="69"/>
      <c r="KEY136" s="116"/>
      <c r="KEZ136" s="116"/>
      <c r="KFA136" s="116"/>
      <c r="KFB136" s="116"/>
      <c r="KFC136" s="116"/>
      <c r="KFD136" s="116"/>
      <c r="KFE136" s="116"/>
      <c r="KFF136" s="116"/>
      <c r="KFG136" s="116"/>
      <c r="KFH136" s="116"/>
      <c r="KFI136" s="116"/>
      <c r="KFJ136" s="116"/>
      <c r="KFK136" s="116"/>
      <c r="KFL136" s="116"/>
      <c r="KFM136" s="118"/>
      <c r="KFN136" s="118"/>
      <c r="KFO136" s="118"/>
      <c r="KFP136" s="118"/>
      <c r="KFQ136" s="118"/>
      <c r="KFR136" s="118"/>
      <c r="KFS136" s="118"/>
      <c r="KFT136" s="118"/>
      <c r="KFU136" s="118"/>
      <c r="KFV136" s="118"/>
      <c r="KFW136" s="118"/>
      <c r="KFX136" s="118"/>
      <c r="KFY136" s="118"/>
      <c r="KFZ136" s="118"/>
      <c r="KGA136" s="118"/>
      <c r="KGF136" s="118"/>
      <c r="KGG136" s="118"/>
      <c r="KGH136" s="118"/>
      <c r="KGI136" s="118"/>
      <c r="KGJ136" s="118"/>
      <c r="KGK136" s="118"/>
      <c r="KGL136" s="118"/>
      <c r="KGM136" s="118"/>
      <c r="KGN136" s="118"/>
      <c r="KGO136" s="118"/>
      <c r="KHA136" s="82"/>
      <c r="KHD136" s="69"/>
      <c r="KHH136" s="116"/>
      <c r="KHI136" s="116"/>
      <c r="KHJ136" s="116"/>
      <c r="KHK136" s="116"/>
      <c r="KHL136" s="116"/>
      <c r="KHM136" s="116"/>
      <c r="KHN136" s="116"/>
      <c r="KHO136" s="116"/>
      <c r="KHP136" s="116"/>
      <c r="KHQ136" s="116"/>
      <c r="KHR136" s="116"/>
      <c r="KHS136" s="116"/>
      <c r="KHT136" s="116"/>
      <c r="KHU136" s="116"/>
      <c r="KHV136" s="118"/>
      <c r="KHW136" s="118"/>
      <c r="KHX136" s="118"/>
      <c r="KHY136" s="118"/>
      <c r="KHZ136" s="118"/>
      <c r="KIA136" s="118"/>
      <c r="KIB136" s="118"/>
      <c r="KIC136" s="118"/>
      <c r="KID136" s="118"/>
      <c r="KIE136" s="118"/>
      <c r="KIF136" s="118"/>
      <c r="KIG136" s="118"/>
      <c r="KIH136" s="118"/>
      <c r="KII136" s="118"/>
      <c r="KIJ136" s="118"/>
      <c r="KIO136" s="118"/>
      <c r="KIP136" s="118"/>
      <c r="KIQ136" s="118"/>
      <c r="KIR136" s="118"/>
      <c r="KIS136" s="118"/>
      <c r="KIT136" s="118"/>
      <c r="KIU136" s="118"/>
      <c r="KIV136" s="118"/>
      <c r="KIW136" s="118"/>
      <c r="KIX136" s="118"/>
      <c r="KJJ136" s="82"/>
      <c r="KJM136" s="69"/>
      <c r="KJQ136" s="116"/>
      <c r="KJR136" s="116"/>
      <c r="KJS136" s="116"/>
      <c r="KJT136" s="116"/>
      <c r="KJU136" s="116"/>
      <c r="KJV136" s="116"/>
      <c r="KJW136" s="116"/>
      <c r="KJX136" s="116"/>
      <c r="KJY136" s="116"/>
      <c r="KJZ136" s="116"/>
      <c r="KKA136" s="116"/>
      <c r="KKB136" s="116"/>
      <c r="KKC136" s="116"/>
      <c r="KKD136" s="116"/>
      <c r="KKE136" s="118"/>
      <c r="KKF136" s="118"/>
      <c r="KKG136" s="118"/>
      <c r="KKH136" s="118"/>
      <c r="KKI136" s="118"/>
      <c r="KKJ136" s="118"/>
      <c r="KKK136" s="118"/>
      <c r="KKL136" s="118"/>
      <c r="KKM136" s="118"/>
      <c r="KKN136" s="118"/>
      <c r="KKO136" s="118"/>
      <c r="KKP136" s="118"/>
      <c r="KKQ136" s="118"/>
      <c r="KKR136" s="118"/>
      <c r="KKS136" s="118"/>
      <c r="KKX136" s="118"/>
      <c r="KKY136" s="118"/>
      <c r="KKZ136" s="118"/>
      <c r="KLA136" s="118"/>
      <c r="KLB136" s="118"/>
      <c r="KLC136" s="118"/>
      <c r="KLD136" s="118"/>
      <c r="KLE136" s="118"/>
      <c r="KLF136" s="118"/>
      <c r="KLG136" s="118"/>
      <c r="KLS136" s="82"/>
      <c r="KLV136" s="69"/>
      <c r="KLZ136" s="116"/>
      <c r="KMA136" s="116"/>
      <c r="KMB136" s="116"/>
      <c r="KMC136" s="116"/>
      <c r="KMD136" s="116"/>
      <c r="KME136" s="116"/>
      <c r="KMF136" s="116"/>
      <c r="KMG136" s="116"/>
      <c r="KMH136" s="116"/>
      <c r="KMI136" s="116"/>
      <c r="KMJ136" s="116"/>
      <c r="KMK136" s="116"/>
      <c r="KML136" s="116"/>
      <c r="KMM136" s="116"/>
      <c r="KMN136" s="118"/>
      <c r="KMO136" s="118"/>
      <c r="KMP136" s="118"/>
      <c r="KMQ136" s="118"/>
      <c r="KMR136" s="118"/>
      <c r="KMS136" s="118"/>
      <c r="KMT136" s="118"/>
      <c r="KMU136" s="118"/>
      <c r="KMV136" s="118"/>
      <c r="KMW136" s="118"/>
      <c r="KMX136" s="118"/>
      <c r="KMY136" s="118"/>
      <c r="KMZ136" s="118"/>
      <c r="KNA136" s="118"/>
      <c r="KNB136" s="118"/>
      <c r="KNG136" s="118"/>
      <c r="KNH136" s="118"/>
      <c r="KNI136" s="118"/>
      <c r="KNJ136" s="118"/>
      <c r="KNK136" s="118"/>
      <c r="KNL136" s="118"/>
      <c r="KNM136" s="118"/>
      <c r="KNN136" s="118"/>
      <c r="KNO136" s="118"/>
      <c r="KNP136" s="118"/>
      <c r="KOB136" s="82"/>
      <c r="KOE136" s="69"/>
      <c r="KOI136" s="116"/>
      <c r="KOJ136" s="116"/>
      <c r="KOK136" s="116"/>
      <c r="KOL136" s="116"/>
      <c r="KOM136" s="116"/>
      <c r="KON136" s="116"/>
      <c r="KOO136" s="116"/>
      <c r="KOP136" s="116"/>
      <c r="KOQ136" s="116"/>
      <c r="KOR136" s="116"/>
      <c r="KOS136" s="116"/>
      <c r="KOT136" s="116"/>
      <c r="KOU136" s="116"/>
      <c r="KOV136" s="116"/>
      <c r="KOW136" s="118"/>
      <c r="KOX136" s="118"/>
      <c r="KOY136" s="118"/>
      <c r="KOZ136" s="118"/>
      <c r="KPA136" s="118"/>
      <c r="KPB136" s="118"/>
      <c r="KPC136" s="118"/>
      <c r="KPD136" s="118"/>
      <c r="KPE136" s="118"/>
      <c r="KPF136" s="118"/>
      <c r="KPG136" s="118"/>
      <c r="KPH136" s="118"/>
      <c r="KPI136" s="118"/>
      <c r="KPJ136" s="118"/>
      <c r="KPK136" s="118"/>
      <c r="KPP136" s="118"/>
      <c r="KPQ136" s="118"/>
      <c r="KPR136" s="118"/>
      <c r="KPS136" s="118"/>
      <c r="KPT136" s="118"/>
      <c r="KPU136" s="118"/>
      <c r="KPV136" s="118"/>
      <c r="KPW136" s="118"/>
      <c r="KPX136" s="118"/>
      <c r="KPY136" s="118"/>
      <c r="KQK136" s="82"/>
      <c r="KQN136" s="69"/>
      <c r="KQR136" s="116"/>
      <c r="KQS136" s="116"/>
      <c r="KQT136" s="116"/>
      <c r="KQU136" s="116"/>
      <c r="KQV136" s="116"/>
      <c r="KQW136" s="116"/>
      <c r="KQX136" s="116"/>
      <c r="KQY136" s="116"/>
      <c r="KQZ136" s="116"/>
      <c r="KRA136" s="116"/>
      <c r="KRB136" s="116"/>
      <c r="KRC136" s="116"/>
      <c r="KRD136" s="116"/>
      <c r="KRE136" s="116"/>
      <c r="KRF136" s="118"/>
      <c r="KRG136" s="118"/>
      <c r="KRH136" s="118"/>
      <c r="KRI136" s="118"/>
      <c r="KRJ136" s="118"/>
      <c r="KRK136" s="118"/>
      <c r="KRL136" s="118"/>
      <c r="KRM136" s="118"/>
      <c r="KRN136" s="118"/>
      <c r="KRO136" s="118"/>
      <c r="KRP136" s="118"/>
      <c r="KRQ136" s="118"/>
      <c r="KRR136" s="118"/>
      <c r="KRS136" s="118"/>
      <c r="KRT136" s="118"/>
      <c r="KRY136" s="118"/>
      <c r="KRZ136" s="118"/>
      <c r="KSA136" s="118"/>
      <c r="KSB136" s="118"/>
      <c r="KSC136" s="118"/>
      <c r="KSD136" s="118"/>
      <c r="KSE136" s="118"/>
      <c r="KSF136" s="118"/>
      <c r="KSG136" s="118"/>
      <c r="KSH136" s="118"/>
      <c r="KST136" s="82"/>
      <c r="KSW136" s="69"/>
      <c r="KTA136" s="116"/>
      <c r="KTB136" s="116"/>
      <c r="KTC136" s="116"/>
      <c r="KTD136" s="116"/>
      <c r="KTE136" s="116"/>
      <c r="KTF136" s="116"/>
      <c r="KTG136" s="116"/>
      <c r="KTH136" s="116"/>
      <c r="KTI136" s="116"/>
      <c r="KTJ136" s="116"/>
      <c r="KTK136" s="116"/>
      <c r="KTL136" s="116"/>
      <c r="KTM136" s="116"/>
      <c r="KTN136" s="116"/>
      <c r="KTO136" s="118"/>
      <c r="KTP136" s="118"/>
      <c r="KTQ136" s="118"/>
      <c r="KTR136" s="118"/>
      <c r="KTS136" s="118"/>
      <c r="KTT136" s="118"/>
      <c r="KTU136" s="118"/>
      <c r="KTV136" s="118"/>
      <c r="KTW136" s="118"/>
      <c r="KTX136" s="118"/>
      <c r="KTY136" s="118"/>
      <c r="KTZ136" s="118"/>
      <c r="KUA136" s="118"/>
      <c r="KUB136" s="118"/>
      <c r="KUC136" s="118"/>
      <c r="KUH136" s="118"/>
      <c r="KUI136" s="118"/>
      <c r="KUJ136" s="118"/>
      <c r="KUK136" s="118"/>
      <c r="KUL136" s="118"/>
      <c r="KUM136" s="118"/>
      <c r="KUN136" s="118"/>
      <c r="KUO136" s="118"/>
      <c r="KUP136" s="118"/>
      <c r="KUQ136" s="118"/>
      <c r="KVC136" s="82"/>
      <c r="KVF136" s="69"/>
      <c r="KVJ136" s="116"/>
      <c r="KVK136" s="116"/>
      <c r="KVL136" s="116"/>
      <c r="KVM136" s="116"/>
      <c r="KVN136" s="116"/>
      <c r="KVO136" s="116"/>
      <c r="KVP136" s="116"/>
      <c r="KVQ136" s="116"/>
      <c r="KVR136" s="116"/>
      <c r="KVS136" s="116"/>
      <c r="KVT136" s="116"/>
      <c r="KVU136" s="116"/>
      <c r="KVV136" s="116"/>
      <c r="KVW136" s="116"/>
      <c r="KVX136" s="118"/>
      <c r="KVY136" s="118"/>
      <c r="KVZ136" s="118"/>
      <c r="KWA136" s="118"/>
      <c r="KWB136" s="118"/>
      <c r="KWC136" s="118"/>
      <c r="KWD136" s="118"/>
      <c r="KWE136" s="118"/>
      <c r="KWF136" s="118"/>
      <c r="KWG136" s="118"/>
      <c r="KWH136" s="118"/>
      <c r="KWI136" s="118"/>
      <c r="KWJ136" s="118"/>
      <c r="KWK136" s="118"/>
      <c r="KWL136" s="118"/>
      <c r="KWQ136" s="118"/>
      <c r="KWR136" s="118"/>
      <c r="KWS136" s="118"/>
      <c r="KWT136" s="118"/>
      <c r="KWU136" s="118"/>
      <c r="KWV136" s="118"/>
      <c r="KWW136" s="118"/>
      <c r="KWX136" s="118"/>
      <c r="KWY136" s="118"/>
      <c r="KWZ136" s="118"/>
      <c r="KXL136" s="82"/>
      <c r="KXO136" s="69"/>
      <c r="KXS136" s="116"/>
      <c r="KXT136" s="116"/>
      <c r="KXU136" s="116"/>
      <c r="KXV136" s="116"/>
      <c r="KXW136" s="116"/>
      <c r="KXX136" s="116"/>
      <c r="KXY136" s="116"/>
      <c r="KXZ136" s="116"/>
      <c r="KYA136" s="116"/>
      <c r="KYB136" s="116"/>
      <c r="KYC136" s="116"/>
      <c r="KYD136" s="116"/>
      <c r="KYE136" s="116"/>
      <c r="KYF136" s="116"/>
      <c r="KYG136" s="118"/>
      <c r="KYH136" s="118"/>
      <c r="KYI136" s="118"/>
      <c r="KYJ136" s="118"/>
      <c r="KYK136" s="118"/>
      <c r="KYL136" s="118"/>
      <c r="KYM136" s="118"/>
      <c r="KYN136" s="118"/>
      <c r="KYO136" s="118"/>
      <c r="KYP136" s="118"/>
      <c r="KYQ136" s="118"/>
      <c r="KYR136" s="118"/>
      <c r="KYS136" s="118"/>
      <c r="KYT136" s="118"/>
      <c r="KYU136" s="118"/>
      <c r="KYZ136" s="118"/>
      <c r="KZA136" s="118"/>
      <c r="KZB136" s="118"/>
      <c r="KZC136" s="118"/>
      <c r="KZD136" s="118"/>
      <c r="KZE136" s="118"/>
      <c r="KZF136" s="118"/>
      <c r="KZG136" s="118"/>
      <c r="KZH136" s="118"/>
      <c r="KZI136" s="118"/>
      <c r="KZU136" s="82"/>
      <c r="KZX136" s="69"/>
      <c r="LAB136" s="116"/>
      <c r="LAC136" s="116"/>
      <c r="LAD136" s="116"/>
      <c r="LAE136" s="116"/>
      <c r="LAF136" s="116"/>
      <c r="LAG136" s="116"/>
      <c r="LAH136" s="116"/>
      <c r="LAI136" s="116"/>
      <c r="LAJ136" s="116"/>
      <c r="LAK136" s="116"/>
      <c r="LAL136" s="116"/>
      <c r="LAM136" s="116"/>
      <c r="LAN136" s="116"/>
      <c r="LAO136" s="116"/>
      <c r="LAP136" s="118"/>
      <c r="LAQ136" s="118"/>
      <c r="LAR136" s="118"/>
      <c r="LAS136" s="118"/>
      <c r="LAT136" s="118"/>
      <c r="LAU136" s="118"/>
      <c r="LAV136" s="118"/>
      <c r="LAW136" s="118"/>
      <c r="LAX136" s="118"/>
      <c r="LAY136" s="118"/>
      <c r="LAZ136" s="118"/>
      <c r="LBA136" s="118"/>
      <c r="LBB136" s="118"/>
      <c r="LBC136" s="118"/>
      <c r="LBD136" s="118"/>
      <c r="LBI136" s="118"/>
      <c r="LBJ136" s="118"/>
      <c r="LBK136" s="118"/>
      <c r="LBL136" s="118"/>
      <c r="LBM136" s="118"/>
      <c r="LBN136" s="118"/>
      <c r="LBO136" s="118"/>
      <c r="LBP136" s="118"/>
      <c r="LBQ136" s="118"/>
      <c r="LBR136" s="118"/>
      <c r="LCD136" s="82"/>
      <c r="LCG136" s="69"/>
      <c r="LCK136" s="116"/>
      <c r="LCL136" s="116"/>
      <c r="LCM136" s="116"/>
      <c r="LCN136" s="116"/>
      <c r="LCO136" s="116"/>
      <c r="LCP136" s="116"/>
      <c r="LCQ136" s="116"/>
      <c r="LCR136" s="116"/>
      <c r="LCS136" s="116"/>
      <c r="LCT136" s="116"/>
      <c r="LCU136" s="116"/>
      <c r="LCV136" s="116"/>
      <c r="LCW136" s="116"/>
      <c r="LCX136" s="116"/>
      <c r="LCY136" s="118"/>
      <c r="LCZ136" s="118"/>
      <c r="LDA136" s="118"/>
      <c r="LDB136" s="118"/>
      <c r="LDC136" s="118"/>
      <c r="LDD136" s="118"/>
      <c r="LDE136" s="118"/>
      <c r="LDF136" s="118"/>
      <c r="LDG136" s="118"/>
      <c r="LDH136" s="118"/>
      <c r="LDI136" s="118"/>
      <c r="LDJ136" s="118"/>
      <c r="LDK136" s="118"/>
      <c r="LDL136" s="118"/>
      <c r="LDM136" s="118"/>
      <c r="LDR136" s="118"/>
      <c r="LDS136" s="118"/>
      <c r="LDT136" s="118"/>
      <c r="LDU136" s="118"/>
      <c r="LDV136" s="118"/>
      <c r="LDW136" s="118"/>
      <c r="LDX136" s="118"/>
      <c r="LDY136" s="118"/>
      <c r="LDZ136" s="118"/>
      <c r="LEA136" s="118"/>
      <c r="LEM136" s="82"/>
      <c r="LEP136" s="69"/>
      <c r="LET136" s="116"/>
      <c r="LEU136" s="116"/>
      <c r="LEV136" s="116"/>
      <c r="LEW136" s="116"/>
      <c r="LEX136" s="116"/>
      <c r="LEY136" s="116"/>
      <c r="LEZ136" s="116"/>
      <c r="LFA136" s="116"/>
      <c r="LFB136" s="116"/>
      <c r="LFC136" s="116"/>
      <c r="LFD136" s="116"/>
      <c r="LFE136" s="116"/>
      <c r="LFF136" s="116"/>
      <c r="LFG136" s="116"/>
      <c r="LFH136" s="118"/>
      <c r="LFI136" s="118"/>
      <c r="LFJ136" s="118"/>
      <c r="LFK136" s="118"/>
      <c r="LFL136" s="118"/>
      <c r="LFM136" s="118"/>
      <c r="LFN136" s="118"/>
      <c r="LFO136" s="118"/>
      <c r="LFP136" s="118"/>
      <c r="LFQ136" s="118"/>
      <c r="LFR136" s="118"/>
      <c r="LFS136" s="118"/>
      <c r="LFT136" s="118"/>
      <c r="LFU136" s="118"/>
      <c r="LFV136" s="118"/>
      <c r="LGA136" s="118"/>
      <c r="LGB136" s="118"/>
      <c r="LGC136" s="118"/>
      <c r="LGD136" s="118"/>
      <c r="LGE136" s="118"/>
      <c r="LGF136" s="118"/>
      <c r="LGG136" s="118"/>
      <c r="LGH136" s="118"/>
      <c r="LGI136" s="118"/>
      <c r="LGJ136" s="118"/>
      <c r="LGV136" s="82"/>
      <c r="LGY136" s="69"/>
      <c r="LHC136" s="116"/>
      <c r="LHD136" s="116"/>
      <c r="LHE136" s="116"/>
      <c r="LHF136" s="116"/>
      <c r="LHG136" s="116"/>
      <c r="LHH136" s="116"/>
      <c r="LHI136" s="116"/>
      <c r="LHJ136" s="116"/>
      <c r="LHK136" s="116"/>
      <c r="LHL136" s="116"/>
      <c r="LHM136" s="116"/>
      <c r="LHN136" s="116"/>
      <c r="LHO136" s="116"/>
      <c r="LHP136" s="116"/>
      <c r="LHQ136" s="118"/>
      <c r="LHR136" s="118"/>
      <c r="LHS136" s="118"/>
      <c r="LHT136" s="118"/>
      <c r="LHU136" s="118"/>
      <c r="LHV136" s="118"/>
      <c r="LHW136" s="118"/>
      <c r="LHX136" s="118"/>
      <c r="LHY136" s="118"/>
      <c r="LHZ136" s="118"/>
      <c r="LIA136" s="118"/>
      <c r="LIB136" s="118"/>
      <c r="LIC136" s="118"/>
      <c r="LID136" s="118"/>
      <c r="LIE136" s="118"/>
      <c r="LIJ136" s="118"/>
      <c r="LIK136" s="118"/>
      <c r="LIL136" s="118"/>
      <c r="LIM136" s="118"/>
      <c r="LIN136" s="118"/>
      <c r="LIO136" s="118"/>
      <c r="LIP136" s="118"/>
      <c r="LIQ136" s="118"/>
      <c r="LIR136" s="118"/>
      <c r="LIS136" s="118"/>
      <c r="LJE136" s="82"/>
      <c r="LJH136" s="69"/>
      <c r="LJL136" s="116"/>
      <c r="LJM136" s="116"/>
      <c r="LJN136" s="116"/>
      <c r="LJO136" s="116"/>
      <c r="LJP136" s="116"/>
      <c r="LJQ136" s="116"/>
      <c r="LJR136" s="116"/>
      <c r="LJS136" s="116"/>
      <c r="LJT136" s="116"/>
      <c r="LJU136" s="116"/>
      <c r="LJV136" s="116"/>
      <c r="LJW136" s="116"/>
      <c r="LJX136" s="116"/>
      <c r="LJY136" s="116"/>
      <c r="LJZ136" s="118"/>
      <c r="LKA136" s="118"/>
      <c r="LKB136" s="118"/>
      <c r="LKC136" s="118"/>
      <c r="LKD136" s="118"/>
      <c r="LKE136" s="118"/>
      <c r="LKF136" s="118"/>
      <c r="LKG136" s="118"/>
      <c r="LKH136" s="118"/>
      <c r="LKI136" s="118"/>
      <c r="LKJ136" s="118"/>
      <c r="LKK136" s="118"/>
      <c r="LKL136" s="118"/>
      <c r="LKM136" s="118"/>
      <c r="LKN136" s="118"/>
      <c r="LKS136" s="118"/>
      <c r="LKT136" s="118"/>
      <c r="LKU136" s="118"/>
      <c r="LKV136" s="118"/>
      <c r="LKW136" s="118"/>
      <c r="LKX136" s="118"/>
      <c r="LKY136" s="118"/>
      <c r="LKZ136" s="118"/>
      <c r="LLA136" s="118"/>
      <c r="LLB136" s="118"/>
      <c r="LLN136" s="82"/>
      <c r="LLQ136" s="69"/>
      <c r="LLU136" s="116"/>
      <c r="LLV136" s="116"/>
      <c r="LLW136" s="116"/>
      <c r="LLX136" s="116"/>
      <c r="LLY136" s="116"/>
      <c r="LLZ136" s="116"/>
      <c r="LMA136" s="116"/>
      <c r="LMB136" s="116"/>
      <c r="LMC136" s="116"/>
      <c r="LMD136" s="116"/>
      <c r="LME136" s="116"/>
      <c r="LMF136" s="116"/>
      <c r="LMG136" s="116"/>
      <c r="LMH136" s="116"/>
      <c r="LMI136" s="118"/>
      <c r="LMJ136" s="118"/>
      <c r="LMK136" s="118"/>
      <c r="LML136" s="118"/>
      <c r="LMM136" s="118"/>
      <c r="LMN136" s="118"/>
      <c r="LMO136" s="118"/>
      <c r="LMP136" s="118"/>
      <c r="LMQ136" s="118"/>
      <c r="LMR136" s="118"/>
      <c r="LMS136" s="118"/>
      <c r="LMT136" s="118"/>
      <c r="LMU136" s="118"/>
      <c r="LMV136" s="118"/>
      <c r="LMW136" s="118"/>
      <c r="LNB136" s="118"/>
      <c r="LNC136" s="118"/>
      <c r="LND136" s="118"/>
      <c r="LNE136" s="118"/>
      <c r="LNF136" s="118"/>
      <c r="LNG136" s="118"/>
      <c r="LNH136" s="118"/>
      <c r="LNI136" s="118"/>
      <c r="LNJ136" s="118"/>
      <c r="LNK136" s="118"/>
      <c r="LNW136" s="82"/>
      <c r="LNZ136" s="69"/>
      <c r="LOD136" s="116"/>
      <c r="LOE136" s="116"/>
      <c r="LOF136" s="116"/>
      <c r="LOG136" s="116"/>
      <c r="LOH136" s="116"/>
      <c r="LOI136" s="116"/>
      <c r="LOJ136" s="116"/>
      <c r="LOK136" s="116"/>
      <c r="LOL136" s="116"/>
      <c r="LOM136" s="116"/>
      <c r="LON136" s="116"/>
      <c r="LOO136" s="116"/>
      <c r="LOP136" s="116"/>
      <c r="LOQ136" s="116"/>
      <c r="LOR136" s="118"/>
      <c r="LOS136" s="118"/>
      <c r="LOT136" s="118"/>
      <c r="LOU136" s="118"/>
      <c r="LOV136" s="118"/>
      <c r="LOW136" s="118"/>
      <c r="LOX136" s="118"/>
      <c r="LOY136" s="118"/>
      <c r="LOZ136" s="118"/>
      <c r="LPA136" s="118"/>
      <c r="LPB136" s="118"/>
      <c r="LPC136" s="118"/>
      <c r="LPD136" s="118"/>
      <c r="LPE136" s="118"/>
      <c r="LPF136" s="118"/>
      <c r="LPK136" s="118"/>
      <c r="LPL136" s="118"/>
      <c r="LPM136" s="118"/>
      <c r="LPN136" s="118"/>
      <c r="LPO136" s="118"/>
      <c r="LPP136" s="118"/>
      <c r="LPQ136" s="118"/>
      <c r="LPR136" s="118"/>
      <c r="LPS136" s="118"/>
      <c r="LPT136" s="118"/>
      <c r="LQF136" s="82"/>
      <c r="LQI136" s="69"/>
      <c r="LQM136" s="116"/>
      <c r="LQN136" s="116"/>
      <c r="LQO136" s="116"/>
      <c r="LQP136" s="116"/>
      <c r="LQQ136" s="116"/>
      <c r="LQR136" s="116"/>
      <c r="LQS136" s="116"/>
      <c r="LQT136" s="116"/>
      <c r="LQU136" s="116"/>
      <c r="LQV136" s="116"/>
      <c r="LQW136" s="116"/>
      <c r="LQX136" s="116"/>
      <c r="LQY136" s="116"/>
      <c r="LQZ136" s="116"/>
      <c r="LRA136" s="118"/>
      <c r="LRB136" s="118"/>
      <c r="LRC136" s="118"/>
      <c r="LRD136" s="118"/>
      <c r="LRE136" s="118"/>
      <c r="LRF136" s="118"/>
      <c r="LRG136" s="118"/>
      <c r="LRH136" s="118"/>
      <c r="LRI136" s="118"/>
      <c r="LRJ136" s="118"/>
      <c r="LRK136" s="118"/>
      <c r="LRL136" s="118"/>
      <c r="LRM136" s="118"/>
      <c r="LRN136" s="118"/>
      <c r="LRO136" s="118"/>
      <c r="LRT136" s="118"/>
      <c r="LRU136" s="118"/>
      <c r="LRV136" s="118"/>
      <c r="LRW136" s="118"/>
      <c r="LRX136" s="118"/>
      <c r="LRY136" s="118"/>
      <c r="LRZ136" s="118"/>
      <c r="LSA136" s="118"/>
      <c r="LSB136" s="118"/>
      <c r="LSC136" s="118"/>
      <c r="LSO136" s="82"/>
      <c r="LSR136" s="69"/>
      <c r="LSV136" s="116"/>
      <c r="LSW136" s="116"/>
      <c r="LSX136" s="116"/>
      <c r="LSY136" s="116"/>
      <c r="LSZ136" s="116"/>
      <c r="LTA136" s="116"/>
      <c r="LTB136" s="116"/>
      <c r="LTC136" s="116"/>
      <c r="LTD136" s="116"/>
      <c r="LTE136" s="116"/>
      <c r="LTF136" s="116"/>
      <c r="LTG136" s="116"/>
      <c r="LTH136" s="116"/>
      <c r="LTI136" s="116"/>
      <c r="LTJ136" s="118"/>
      <c r="LTK136" s="118"/>
      <c r="LTL136" s="118"/>
      <c r="LTM136" s="118"/>
      <c r="LTN136" s="118"/>
      <c r="LTO136" s="118"/>
      <c r="LTP136" s="118"/>
      <c r="LTQ136" s="118"/>
      <c r="LTR136" s="118"/>
      <c r="LTS136" s="118"/>
      <c r="LTT136" s="118"/>
      <c r="LTU136" s="118"/>
      <c r="LTV136" s="118"/>
      <c r="LTW136" s="118"/>
      <c r="LTX136" s="118"/>
      <c r="LUC136" s="118"/>
      <c r="LUD136" s="118"/>
      <c r="LUE136" s="118"/>
      <c r="LUF136" s="118"/>
      <c r="LUG136" s="118"/>
      <c r="LUH136" s="118"/>
      <c r="LUI136" s="118"/>
      <c r="LUJ136" s="118"/>
      <c r="LUK136" s="118"/>
      <c r="LUL136" s="118"/>
      <c r="LUX136" s="82"/>
      <c r="LVA136" s="69"/>
      <c r="LVE136" s="116"/>
      <c r="LVF136" s="116"/>
      <c r="LVG136" s="116"/>
      <c r="LVH136" s="116"/>
      <c r="LVI136" s="116"/>
      <c r="LVJ136" s="116"/>
      <c r="LVK136" s="116"/>
      <c r="LVL136" s="116"/>
      <c r="LVM136" s="116"/>
      <c r="LVN136" s="116"/>
      <c r="LVO136" s="116"/>
      <c r="LVP136" s="116"/>
      <c r="LVQ136" s="116"/>
      <c r="LVR136" s="116"/>
      <c r="LVS136" s="118"/>
      <c r="LVT136" s="118"/>
      <c r="LVU136" s="118"/>
      <c r="LVV136" s="118"/>
      <c r="LVW136" s="118"/>
      <c r="LVX136" s="118"/>
      <c r="LVY136" s="118"/>
      <c r="LVZ136" s="118"/>
      <c r="LWA136" s="118"/>
      <c r="LWB136" s="118"/>
      <c r="LWC136" s="118"/>
      <c r="LWD136" s="118"/>
      <c r="LWE136" s="118"/>
      <c r="LWF136" s="118"/>
      <c r="LWG136" s="118"/>
      <c r="LWL136" s="118"/>
      <c r="LWM136" s="118"/>
      <c r="LWN136" s="118"/>
      <c r="LWO136" s="118"/>
      <c r="LWP136" s="118"/>
      <c r="LWQ136" s="118"/>
      <c r="LWR136" s="118"/>
      <c r="LWS136" s="118"/>
      <c r="LWT136" s="118"/>
      <c r="LWU136" s="118"/>
      <c r="LXG136" s="82"/>
      <c r="LXJ136" s="69"/>
      <c r="LXN136" s="116"/>
      <c r="LXO136" s="116"/>
      <c r="LXP136" s="116"/>
      <c r="LXQ136" s="116"/>
      <c r="LXR136" s="116"/>
      <c r="LXS136" s="116"/>
      <c r="LXT136" s="116"/>
      <c r="LXU136" s="116"/>
      <c r="LXV136" s="116"/>
      <c r="LXW136" s="116"/>
      <c r="LXX136" s="116"/>
      <c r="LXY136" s="116"/>
      <c r="LXZ136" s="116"/>
      <c r="LYA136" s="116"/>
      <c r="LYB136" s="118"/>
      <c r="LYC136" s="118"/>
      <c r="LYD136" s="118"/>
      <c r="LYE136" s="118"/>
      <c r="LYF136" s="118"/>
      <c r="LYG136" s="118"/>
      <c r="LYH136" s="118"/>
      <c r="LYI136" s="118"/>
      <c r="LYJ136" s="118"/>
      <c r="LYK136" s="118"/>
      <c r="LYL136" s="118"/>
      <c r="LYM136" s="118"/>
      <c r="LYN136" s="118"/>
      <c r="LYO136" s="118"/>
      <c r="LYP136" s="118"/>
      <c r="LYU136" s="118"/>
      <c r="LYV136" s="118"/>
      <c r="LYW136" s="118"/>
      <c r="LYX136" s="118"/>
      <c r="LYY136" s="118"/>
      <c r="LYZ136" s="118"/>
      <c r="LZA136" s="118"/>
      <c r="LZB136" s="118"/>
      <c r="LZC136" s="118"/>
      <c r="LZD136" s="118"/>
      <c r="LZP136" s="82"/>
      <c r="LZS136" s="69"/>
      <c r="LZW136" s="116"/>
      <c r="LZX136" s="116"/>
      <c r="LZY136" s="116"/>
      <c r="LZZ136" s="116"/>
      <c r="MAA136" s="116"/>
      <c r="MAB136" s="116"/>
      <c r="MAC136" s="116"/>
      <c r="MAD136" s="116"/>
      <c r="MAE136" s="116"/>
      <c r="MAF136" s="116"/>
      <c r="MAG136" s="116"/>
      <c r="MAH136" s="116"/>
      <c r="MAI136" s="116"/>
      <c r="MAJ136" s="116"/>
      <c r="MAK136" s="118"/>
      <c r="MAL136" s="118"/>
      <c r="MAM136" s="118"/>
      <c r="MAN136" s="118"/>
      <c r="MAO136" s="118"/>
      <c r="MAP136" s="118"/>
      <c r="MAQ136" s="118"/>
      <c r="MAR136" s="118"/>
      <c r="MAS136" s="118"/>
      <c r="MAT136" s="118"/>
      <c r="MAU136" s="118"/>
      <c r="MAV136" s="118"/>
      <c r="MAW136" s="118"/>
      <c r="MAX136" s="118"/>
      <c r="MAY136" s="118"/>
      <c r="MBD136" s="118"/>
      <c r="MBE136" s="118"/>
      <c r="MBF136" s="118"/>
      <c r="MBG136" s="118"/>
      <c r="MBH136" s="118"/>
      <c r="MBI136" s="118"/>
      <c r="MBJ136" s="118"/>
      <c r="MBK136" s="118"/>
      <c r="MBL136" s="118"/>
      <c r="MBM136" s="118"/>
      <c r="MBY136" s="82"/>
      <c r="MCB136" s="69"/>
      <c r="MCF136" s="116"/>
      <c r="MCG136" s="116"/>
      <c r="MCH136" s="116"/>
      <c r="MCI136" s="116"/>
      <c r="MCJ136" s="116"/>
      <c r="MCK136" s="116"/>
      <c r="MCL136" s="116"/>
      <c r="MCM136" s="116"/>
      <c r="MCN136" s="116"/>
      <c r="MCO136" s="116"/>
      <c r="MCP136" s="116"/>
      <c r="MCQ136" s="116"/>
      <c r="MCR136" s="116"/>
      <c r="MCS136" s="116"/>
      <c r="MCT136" s="118"/>
      <c r="MCU136" s="118"/>
      <c r="MCV136" s="118"/>
      <c r="MCW136" s="118"/>
      <c r="MCX136" s="118"/>
      <c r="MCY136" s="118"/>
      <c r="MCZ136" s="118"/>
      <c r="MDA136" s="118"/>
      <c r="MDB136" s="118"/>
      <c r="MDC136" s="118"/>
      <c r="MDD136" s="118"/>
      <c r="MDE136" s="118"/>
      <c r="MDF136" s="118"/>
      <c r="MDG136" s="118"/>
      <c r="MDH136" s="118"/>
      <c r="MDM136" s="118"/>
      <c r="MDN136" s="118"/>
      <c r="MDO136" s="118"/>
      <c r="MDP136" s="118"/>
      <c r="MDQ136" s="118"/>
      <c r="MDR136" s="118"/>
      <c r="MDS136" s="118"/>
      <c r="MDT136" s="118"/>
      <c r="MDU136" s="118"/>
      <c r="MDV136" s="118"/>
      <c r="MEH136" s="82"/>
      <c r="MEK136" s="69"/>
      <c r="MEO136" s="116"/>
      <c r="MEP136" s="116"/>
      <c r="MEQ136" s="116"/>
      <c r="MER136" s="116"/>
      <c r="MES136" s="116"/>
      <c r="MET136" s="116"/>
      <c r="MEU136" s="116"/>
      <c r="MEV136" s="116"/>
      <c r="MEW136" s="116"/>
      <c r="MEX136" s="116"/>
      <c r="MEY136" s="116"/>
      <c r="MEZ136" s="116"/>
      <c r="MFA136" s="116"/>
      <c r="MFB136" s="116"/>
      <c r="MFC136" s="118"/>
      <c r="MFD136" s="118"/>
      <c r="MFE136" s="118"/>
      <c r="MFF136" s="118"/>
      <c r="MFG136" s="118"/>
      <c r="MFH136" s="118"/>
      <c r="MFI136" s="118"/>
      <c r="MFJ136" s="118"/>
      <c r="MFK136" s="118"/>
      <c r="MFL136" s="118"/>
      <c r="MFM136" s="118"/>
      <c r="MFN136" s="118"/>
      <c r="MFO136" s="118"/>
      <c r="MFP136" s="118"/>
      <c r="MFQ136" s="118"/>
      <c r="MFV136" s="118"/>
      <c r="MFW136" s="118"/>
      <c r="MFX136" s="118"/>
      <c r="MFY136" s="118"/>
      <c r="MFZ136" s="118"/>
      <c r="MGA136" s="118"/>
      <c r="MGB136" s="118"/>
      <c r="MGC136" s="118"/>
      <c r="MGD136" s="118"/>
      <c r="MGE136" s="118"/>
      <c r="MGQ136" s="82"/>
      <c r="MGT136" s="69"/>
      <c r="MGX136" s="116"/>
      <c r="MGY136" s="116"/>
      <c r="MGZ136" s="116"/>
      <c r="MHA136" s="116"/>
      <c r="MHB136" s="116"/>
      <c r="MHC136" s="116"/>
      <c r="MHD136" s="116"/>
      <c r="MHE136" s="116"/>
      <c r="MHF136" s="116"/>
      <c r="MHG136" s="116"/>
      <c r="MHH136" s="116"/>
      <c r="MHI136" s="116"/>
      <c r="MHJ136" s="116"/>
      <c r="MHK136" s="116"/>
      <c r="MHL136" s="118"/>
      <c r="MHM136" s="118"/>
      <c r="MHN136" s="118"/>
      <c r="MHO136" s="118"/>
      <c r="MHP136" s="118"/>
      <c r="MHQ136" s="118"/>
      <c r="MHR136" s="118"/>
      <c r="MHS136" s="118"/>
      <c r="MHT136" s="118"/>
      <c r="MHU136" s="118"/>
      <c r="MHV136" s="118"/>
      <c r="MHW136" s="118"/>
      <c r="MHX136" s="118"/>
      <c r="MHY136" s="118"/>
      <c r="MHZ136" s="118"/>
      <c r="MIE136" s="118"/>
      <c r="MIF136" s="118"/>
      <c r="MIG136" s="118"/>
      <c r="MIH136" s="118"/>
      <c r="MII136" s="118"/>
      <c r="MIJ136" s="118"/>
      <c r="MIK136" s="118"/>
      <c r="MIL136" s="118"/>
      <c r="MIM136" s="118"/>
      <c r="MIN136" s="118"/>
      <c r="MIZ136" s="82"/>
      <c r="MJC136" s="69"/>
      <c r="MJG136" s="116"/>
      <c r="MJH136" s="116"/>
      <c r="MJI136" s="116"/>
      <c r="MJJ136" s="116"/>
      <c r="MJK136" s="116"/>
      <c r="MJL136" s="116"/>
      <c r="MJM136" s="116"/>
      <c r="MJN136" s="116"/>
      <c r="MJO136" s="116"/>
      <c r="MJP136" s="116"/>
      <c r="MJQ136" s="116"/>
      <c r="MJR136" s="116"/>
      <c r="MJS136" s="116"/>
      <c r="MJT136" s="116"/>
      <c r="MJU136" s="118"/>
      <c r="MJV136" s="118"/>
      <c r="MJW136" s="118"/>
      <c r="MJX136" s="118"/>
      <c r="MJY136" s="118"/>
      <c r="MJZ136" s="118"/>
      <c r="MKA136" s="118"/>
      <c r="MKB136" s="118"/>
      <c r="MKC136" s="118"/>
      <c r="MKD136" s="118"/>
      <c r="MKE136" s="118"/>
      <c r="MKF136" s="118"/>
      <c r="MKG136" s="118"/>
      <c r="MKH136" s="118"/>
      <c r="MKI136" s="118"/>
      <c r="MKN136" s="118"/>
      <c r="MKO136" s="118"/>
      <c r="MKP136" s="118"/>
      <c r="MKQ136" s="118"/>
      <c r="MKR136" s="118"/>
      <c r="MKS136" s="118"/>
      <c r="MKT136" s="118"/>
      <c r="MKU136" s="118"/>
      <c r="MKV136" s="118"/>
      <c r="MKW136" s="118"/>
      <c r="MLI136" s="82"/>
      <c r="MLL136" s="69"/>
      <c r="MLP136" s="116"/>
      <c r="MLQ136" s="116"/>
      <c r="MLR136" s="116"/>
      <c r="MLS136" s="116"/>
      <c r="MLT136" s="116"/>
      <c r="MLU136" s="116"/>
      <c r="MLV136" s="116"/>
      <c r="MLW136" s="116"/>
      <c r="MLX136" s="116"/>
      <c r="MLY136" s="116"/>
      <c r="MLZ136" s="116"/>
      <c r="MMA136" s="116"/>
      <c r="MMB136" s="116"/>
      <c r="MMC136" s="116"/>
      <c r="MMD136" s="118"/>
      <c r="MME136" s="118"/>
      <c r="MMF136" s="118"/>
      <c r="MMG136" s="118"/>
      <c r="MMH136" s="118"/>
      <c r="MMI136" s="118"/>
      <c r="MMJ136" s="118"/>
      <c r="MMK136" s="118"/>
      <c r="MML136" s="118"/>
      <c r="MMM136" s="118"/>
      <c r="MMN136" s="118"/>
      <c r="MMO136" s="118"/>
      <c r="MMP136" s="118"/>
      <c r="MMQ136" s="118"/>
      <c r="MMR136" s="118"/>
      <c r="MMW136" s="118"/>
      <c r="MMX136" s="118"/>
      <c r="MMY136" s="118"/>
      <c r="MMZ136" s="118"/>
      <c r="MNA136" s="118"/>
      <c r="MNB136" s="118"/>
      <c r="MNC136" s="118"/>
      <c r="MND136" s="118"/>
      <c r="MNE136" s="118"/>
      <c r="MNF136" s="118"/>
      <c r="MNR136" s="82"/>
      <c r="MNU136" s="69"/>
      <c r="MNY136" s="116"/>
      <c r="MNZ136" s="116"/>
      <c r="MOA136" s="116"/>
      <c r="MOB136" s="116"/>
      <c r="MOC136" s="116"/>
      <c r="MOD136" s="116"/>
      <c r="MOE136" s="116"/>
      <c r="MOF136" s="116"/>
      <c r="MOG136" s="116"/>
      <c r="MOH136" s="116"/>
      <c r="MOI136" s="116"/>
      <c r="MOJ136" s="116"/>
      <c r="MOK136" s="116"/>
      <c r="MOL136" s="116"/>
      <c r="MOM136" s="118"/>
      <c r="MON136" s="118"/>
      <c r="MOO136" s="118"/>
      <c r="MOP136" s="118"/>
      <c r="MOQ136" s="118"/>
      <c r="MOR136" s="118"/>
      <c r="MOS136" s="118"/>
      <c r="MOT136" s="118"/>
      <c r="MOU136" s="118"/>
      <c r="MOV136" s="118"/>
      <c r="MOW136" s="118"/>
      <c r="MOX136" s="118"/>
      <c r="MOY136" s="118"/>
      <c r="MOZ136" s="118"/>
      <c r="MPA136" s="118"/>
      <c r="MPF136" s="118"/>
      <c r="MPG136" s="118"/>
      <c r="MPH136" s="118"/>
      <c r="MPI136" s="118"/>
      <c r="MPJ136" s="118"/>
      <c r="MPK136" s="118"/>
      <c r="MPL136" s="118"/>
      <c r="MPM136" s="118"/>
      <c r="MPN136" s="118"/>
      <c r="MPO136" s="118"/>
      <c r="MQA136" s="82"/>
      <c r="MQD136" s="69"/>
      <c r="MQH136" s="116"/>
      <c r="MQI136" s="116"/>
      <c r="MQJ136" s="116"/>
      <c r="MQK136" s="116"/>
      <c r="MQL136" s="116"/>
      <c r="MQM136" s="116"/>
      <c r="MQN136" s="116"/>
      <c r="MQO136" s="116"/>
      <c r="MQP136" s="116"/>
      <c r="MQQ136" s="116"/>
      <c r="MQR136" s="116"/>
      <c r="MQS136" s="116"/>
      <c r="MQT136" s="116"/>
      <c r="MQU136" s="116"/>
      <c r="MQV136" s="118"/>
      <c r="MQW136" s="118"/>
      <c r="MQX136" s="118"/>
      <c r="MQY136" s="118"/>
      <c r="MQZ136" s="118"/>
      <c r="MRA136" s="118"/>
      <c r="MRB136" s="118"/>
      <c r="MRC136" s="118"/>
      <c r="MRD136" s="118"/>
      <c r="MRE136" s="118"/>
      <c r="MRF136" s="118"/>
      <c r="MRG136" s="118"/>
      <c r="MRH136" s="118"/>
      <c r="MRI136" s="118"/>
      <c r="MRJ136" s="118"/>
      <c r="MRO136" s="118"/>
      <c r="MRP136" s="118"/>
      <c r="MRQ136" s="118"/>
      <c r="MRR136" s="118"/>
      <c r="MRS136" s="118"/>
      <c r="MRT136" s="118"/>
      <c r="MRU136" s="118"/>
      <c r="MRV136" s="118"/>
      <c r="MRW136" s="118"/>
      <c r="MRX136" s="118"/>
      <c r="MSJ136" s="82"/>
      <c r="MSM136" s="69"/>
      <c r="MSQ136" s="116"/>
      <c r="MSR136" s="116"/>
      <c r="MSS136" s="116"/>
      <c r="MST136" s="116"/>
      <c r="MSU136" s="116"/>
      <c r="MSV136" s="116"/>
      <c r="MSW136" s="116"/>
      <c r="MSX136" s="116"/>
      <c r="MSY136" s="116"/>
      <c r="MSZ136" s="116"/>
      <c r="MTA136" s="116"/>
      <c r="MTB136" s="116"/>
      <c r="MTC136" s="116"/>
      <c r="MTD136" s="116"/>
      <c r="MTE136" s="118"/>
      <c r="MTF136" s="118"/>
      <c r="MTG136" s="118"/>
      <c r="MTH136" s="118"/>
      <c r="MTI136" s="118"/>
      <c r="MTJ136" s="118"/>
      <c r="MTK136" s="118"/>
      <c r="MTL136" s="118"/>
      <c r="MTM136" s="118"/>
      <c r="MTN136" s="118"/>
      <c r="MTO136" s="118"/>
      <c r="MTP136" s="118"/>
      <c r="MTQ136" s="118"/>
      <c r="MTR136" s="118"/>
      <c r="MTS136" s="118"/>
      <c r="MTX136" s="118"/>
      <c r="MTY136" s="118"/>
      <c r="MTZ136" s="118"/>
      <c r="MUA136" s="118"/>
      <c r="MUB136" s="118"/>
      <c r="MUC136" s="118"/>
      <c r="MUD136" s="118"/>
      <c r="MUE136" s="118"/>
      <c r="MUF136" s="118"/>
      <c r="MUG136" s="118"/>
      <c r="MUS136" s="82"/>
      <c r="MUV136" s="69"/>
      <c r="MUZ136" s="116"/>
      <c r="MVA136" s="116"/>
      <c r="MVB136" s="116"/>
      <c r="MVC136" s="116"/>
      <c r="MVD136" s="116"/>
      <c r="MVE136" s="116"/>
      <c r="MVF136" s="116"/>
      <c r="MVG136" s="116"/>
      <c r="MVH136" s="116"/>
      <c r="MVI136" s="116"/>
      <c r="MVJ136" s="116"/>
      <c r="MVK136" s="116"/>
      <c r="MVL136" s="116"/>
      <c r="MVM136" s="116"/>
      <c r="MVN136" s="118"/>
      <c r="MVO136" s="118"/>
      <c r="MVP136" s="118"/>
      <c r="MVQ136" s="118"/>
      <c r="MVR136" s="118"/>
      <c r="MVS136" s="118"/>
      <c r="MVT136" s="118"/>
      <c r="MVU136" s="118"/>
      <c r="MVV136" s="118"/>
      <c r="MVW136" s="118"/>
      <c r="MVX136" s="118"/>
      <c r="MVY136" s="118"/>
      <c r="MVZ136" s="118"/>
      <c r="MWA136" s="118"/>
      <c r="MWB136" s="118"/>
      <c r="MWG136" s="118"/>
      <c r="MWH136" s="118"/>
      <c r="MWI136" s="118"/>
      <c r="MWJ136" s="118"/>
      <c r="MWK136" s="118"/>
      <c r="MWL136" s="118"/>
      <c r="MWM136" s="118"/>
      <c r="MWN136" s="118"/>
      <c r="MWO136" s="118"/>
      <c r="MWP136" s="118"/>
      <c r="MXB136" s="82"/>
      <c r="MXE136" s="69"/>
      <c r="MXI136" s="116"/>
      <c r="MXJ136" s="116"/>
      <c r="MXK136" s="116"/>
      <c r="MXL136" s="116"/>
      <c r="MXM136" s="116"/>
      <c r="MXN136" s="116"/>
      <c r="MXO136" s="116"/>
      <c r="MXP136" s="116"/>
      <c r="MXQ136" s="116"/>
      <c r="MXR136" s="116"/>
      <c r="MXS136" s="116"/>
      <c r="MXT136" s="116"/>
      <c r="MXU136" s="116"/>
      <c r="MXV136" s="116"/>
      <c r="MXW136" s="118"/>
      <c r="MXX136" s="118"/>
      <c r="MXY136" s="118"/>
      <c r="MXZ136" s="118"/>
      <c r="MYA136" s="118"/>
      <c r="MYB136" s="118"/>
      <c r="MYC136" s="118"/>
      <c r="MYD136" s="118"/>
      <c r="MYE136" s="118"/>
      <c r="MYF136" s="118"/>
      <c r="MYG136" s="118"/>
      <c r="MYH136" s="118"/>
      <c r="MYI136" s="118"/>
      <c r="MYJ136" s="118"/>
      <c r="MYK136" s="118"/>
      <c r="MYP136" s="118"/>
      <c r="MYQ136" s="118"/>
      <c r="MYR136" s="118"/>
      <c r="MYS136" s="118"/>
      <c r="MYT136" s="118"/>
      <c r="MYU136" s="118"/>
      <c r="MYV136" s="118"/>
      <c r="MYW136" s="118"/>
      <c r="MYX136" s="118"/>
      <c r="MYY136" s="118"/>
      <c r="MZK136" s="82"/>
      <c r="MZN136" s="69"/>
      <c r="MZR136" s="116"/>
      <c r="MZS136" s="116"/>
      <c r="MZT136" s="116"/>
      <c r="MZU136" s="116"/>
      <c r="MZV136" s="116"/>
      <c r="MZW136" s="116"/>
      <c r="MZX136" s="116"/>
      <c r="MZY136" s="116"/>
      <c r="MZZ136" s="116"/>
      <c r="NAA136" s="116"/>
      <c r="NAB136" s="116"/>
      <c r="NAC136" s="116"/>
      <c r="NAD136" s="116"/>
      <c r="NAE136" s="116"/>
      <c r="NAF136" s="118"/>
      <c r="NAG136" s="118"/>
      <c r="NAH136" s="118"/>
      <c r="NAI136" s="118"/>
      <c r="NAJ136" s="118"/>
      <c r="NAK136" s="118"/>
      <c r="NAL136" s="118"/>
      <c r="NAM136" s="118"/>
      <c r="NAN136" s="118"/>
      <c r="NAO136" s="118"/>
      <c r="NAP136" s="118"/>
      <c r="NAQ136" s="118"/>
      <c r="NAR136" s="118"/>
      <c r="NAS136" s="118"/>
      <c r="NAT136" s="118"/>
      <c r="NAY136" s="118"/>
      <c r="NAZ136" s="118"/>
      <c r="NBA136" s="118"/>
      <c r="NBB136" s="118"/>
      <c r="NBC136" s="118"/>
      <c r="NBD136" s="118"/>
      <c r="NBE136" s="118"/>
      <c r="NBF136" s="118"/>
      <c r="NBG136" s="118"/>
      <c r="NBH136" s="118"/>
      <c r="NBT136" s="82"/>
      <c r="NBW136" s="69"/>
      <c r="NCA136" s="116"/>
      <c r="NCB136" s="116"/>
      <c r="NCC136" s="116"/>
      <c r="NCD136" s="116"/>
      <c r="NCE136" s="116"/>
      <c r="NCF136" s="116"/>
      <c r="NCG136" s="116"/>
      <c r="NCH136" s="116"/>
      <c r="NCI136" s="116"/>
      <c r="NCJ136" s="116"/>
      <c r="NCK136" s="116"/>
      <c r="NCL136" s="116"/>
      <c r="NCM136" s="116"/>
      <c r="NCN136" s="116"/>
      <c r="NCO136" s="118"/>
      <c r="NCP136" s="118"/>
      <c r="NCQ136" s="118"/>
      <c r="NCR136" s="118"/>
      <c r="NCS136" s="118"/>
      <c r="NCT136" s="118"/>
      <c r="NCU136" s="118"/>
      <c r="NCV136" s="118"/>
      <c r="NCW136" s="118"/>
      <c r="NCX136" s="118"/>
      <c r="NCY136" s="118"/>
      <c r="NCZ136" s="118"/>
      <c r="NDA136" s="118"/>
      <c r="NDB136" s="118"/>
      <c r="NDC136" s="118"/>
      <c r="NDH136" s="118"/>
      <c r="NDI136" s="118"/>
      <c r="NDJ136" s="118"/>
      <c r="NDK136" s="118"/>
      <c r="NDL136" s="118"/>
      <c r="NDM136" s="118"/>
      <c r="NDN136" s="118"/>
      <c r="NDO136" s="118"/>
      <c r="NDP136" s="118"/>
      <c r="NDQ136" s="118"/>
      <c r="NEC136" s="82"/>
      <c r="NEF136" s="69"/>
      <c r="NEJ136" s="116"/>
      <c r="NEK136" s="116"/>
      <c r="NEL136" s="116"/>
      <c r="NEM136" s="116"/>
      <c r="NEN136" s="116"/>
      <c r="NEO136" s="116"/>
      <c r="NEP136" s="116"/>
      <c r="NEQ136" s="116"/>
      <c r="NER136" s="116"/>
      <c r="NES136" s="116"/>
      <c r="NET136" s="116"/>
      <c r="NEU136" s="116"/>
      <c r="NEV136" s="116"/>
      <c r="NEW136" s="116"/>
      <c r="NEX136" s="118"/>
      <c r="NEY136" s="118"/>
      <c r="NEZ136" s="118"/>
      <c r="NFA136" s="118"/>
      <c r="NFB136" s="118"/>
      <c r="NFC136" s="118"/>
      <c r="NFD136" s="118"/>
      <c r="NFE136" s="118"/>
      <c r="NFF136" s="118"/>
      <c r="NFG136" s="118"/>
      <c r="NFH136" s="118"/>
      <c r="NFI136" s="118"/>
      <c r="NFJ136" s="118"/>
      <c r="NFK136" s="118"/>
      <c r="NFL136" s="118"/>
      <c r="NFQ136" s="118"/>
      <c r="NFR136" s="118"/>
      <c r="NFS136" s="118"/>
      <c r="NFT136" s="118"/>
      <c r="NFU136" s="118"/>
      <c r="NFV136" s="118"/>
      <c r="NFW136" s="118"/>
      <c r="NFX136" s="118"/>
      <c r="NFY136" s="118"/>
      <c r="NFZ136" s="118"/>
      <c r="NGL136" s="82"/>
      <c r="NGO136" s="69"/>
      <c r="NGS136" s="116"/>
      <c r="NGT136" s="116"/>
      <c r="NGU136" s="116"/>
      <c r="NGV136" s="116"/>
      <c r="NGW136" s="116"/>
      <c r="NGX136" s="116"/>
      <c r="NGY136" s="116"/>
      <c r="NGZ136" s="116"/>
      <c r="NHA136" s="116"/>
      <c r="NHB136" s="116"/>
      <c r="NHC136" s="116"/>
      <c r="NHD136" s="116"/>
      <c r="NHE136" s="116"/>
      <c r="NHF136" s="116"/>
      <c r="NHG136" s="118"/>
      <c r="NHH136" s="118"/>
      <c r="NHI136" s="118"/>
      <c r="NHJ136" s="118"/>
      <c r="NHK136" s="118"/>
      <c r="NHL136" s="118"/>
      <c r="NHM136" s="118"/>
      <c r="NHN136" s="118"/>
      <c r="NHO136" s="118"/>
      <c r="NHP136" s="118"/>
      <c r="NHQ136" s="118"/>
      <c r="NHR136" s="118"/>
      <c r="NHS136" s="118"/>
      <c r="NHT136" s="118"/>
      <c r="NHU136" s="118"/>
      <c r="NHZ136" s="118"/>
      <c r="NIA136" s="118"/>
      <c r="NIB136" s="118"/>
      <c r="NIC136" s="118"/>
      <c r="NID136" s="118"/>
      <c r="NIE136" s="118"/>
      <c r="NIF136" s="118"/>
      <c r="NIG136" s="118"/>
      <c r="NIH136" s="118"/>
      <c r="NII136" s="118"/>
      <c r="NIU136" s="82"/>
      <c r="NIX136" s="69"/>
      <c r="NJB136" s="116"/>
      <c r="NJC136" s="116"/>
      <c r="NJD136" s="116"/>
      <c r="NJE136" s="116"/>
      <c r="NJF136" s="116"/>
      <c r="NJG136" s="116"/>
      <c r="NJH136" s="116"/>
      <c r="NJI136" s="116"/>
      <c r="NJJ136" s="116"/>
      <c r="NJK136" s="116"/>
      <c r="NJL136" s="116"/>
      <c r="NJM136" s="116"/>
      <c r="NJN136" s="116"/>
      <c r="NJO136" s="116"/>
      <c r="NJP136" s="118"/>
      <c r="NJQ136" s="118"/>
      <c r="NJR136" s="118"/>
      <c r="NJS136" s="118"/>
      <c r="NJT136" s="118"/>
      <c r="NJU136" s="118"/>
      <c r="NJV136" s="118"/>
      <c r="NJW136" s="118"/>
      <c r="NJX136" s="118"/>
      <c r="NJY136" s="118"/>
      <c r="NJZ136" s="118"/>
      <c r="NKA136" s="118"/>
      <c r="NKB136" s="118"/>
      <c r="NKC136" s="118"/>
      <c r="NKD136" s="118"/>
      <c r="NKI136" s="118"/>
      <c r="NKJ136" s="118"/>
      <c r="NKK136" s="118"/>
      <c r="NKL136" s="118"/>
      <c r="NKM136" s="118"/>
      <c r="NKN136" s="118"/>
      <c r="NKO136" s="118"/>
      <c r="NKP136" s="118"/>
      <c r="NKQ136" s="118"/>
      <c r="NKR136" s="118"/>
      <c r="NLD136" s="82"/>
      <c r="NLG136" s="69"/>
      <c r="NLK136" s="116"/>
      <c r="NLL136" s="116"/>
      <c r="NLM136" s="116"/>
      <c r="NLN136" s="116"/>
      <c r="NLO136" s="116"/>
      <c r="NLP136" s="116"/>
      <c r="NLQ136" s="116"/>
      <c r="NLR136" s="116"/>
      <c r="NLS136" s="116"/>
      <c r="NLT136" s="116"/>
      <c r="NLU136" s="116"/>
      <c r="NLV136" s="116"/>
      <c r="NLW136" s="116"/>
      <c r="NLX136" s="116"/>
      <c r="NLY136" s="118"/>
      <c r="NLZ136" s="118"/>
      <c r="NMA136" s="118"/>
      <c r="NMB136" s="118"/>
      <c r="NMC136" s="118"/>
      <c r="NMD136" s="118"/>
      <c r="NME136" s="118"/>
      <c r="NMF136" s="118"/>
      <c r="NMG136" s="118"/>
      <c r="NMH136" s="118"/>
      <c r="NMI136" s="118"/>
      <c r="NMJ136" s="118"/>
      <c r="NMK136" s="118"/>
      <c r="NML136" s="118"/>
      <c r="NMM136" s="118"/>
      <c r="NMR136" s="118"/>
      <c r="NMS136" s="118"/>
      <c r="NMT136" s="118"/>
      <c r="NMU136" s="118"/>
      <c r="NMV136" s="118"/>
      <c r="NMW136" s="118"/>
      <c r="NMX136" s="118"/>
      <c r="NMY136" s="118"/>
      <c r="NMZ136" s="118"/>
      <c r="NNA136" s="118"/>
      <c r="NNM136" s="82"/>
      <c r="NNP136" s="69"/>
      <c r="NNT136" s="116"/>
      <c r="NNU136" s="116"/>
      <c r="NNV136" s="116"/>
      <c r="NNW136" s="116"/>
      <c r="NNX136" s="116"/>
      <c r="NNY136" s="116"/>
      <c r="NNZ136" s="116"/>
      <c r="NOA136" s="116"/>
      <c r="NOB136" s="116"/>
      <c r="NOC136" s="116"/>
      <c r="NOD136" s="116"/>
      <c r="NOE136" s="116"/>
      <c r="NOF136" s="116"/>
      <c r="NOG136" s="116"/>
      <c r="NOH136" s="118"/>
      <c r="NOI136" s="118"/>
      <c r="NOJ136" s="118"/>
      <c r="NOK136" s="118"/>
      <c r="NOL136" s="118"/>
      <c r="NOM136" s="118"/>
      <c r="NON136" s="118"/>
      <c r="NOO136" s="118"/>
      <c r="NOP136" s="118"/>
      <c r="NOQ136" s="118"/>
      <c r="NOR136" s="118"/>
      <c r="NOS136" s="118"/>
      <c r="NOT136" s="118"/>
      <c r="NOU136" s="118"/>
      <c r="NOV136" s="118"/>
      <c r="NPA136" s="118"/>
      <c r="NPB136" s="118"/>
      <c r="NPC136" s="118"/>
      <c r="NPD136" s="118"/>
      <c r="NPE136" s="118"/>
      <c r="NPF136" s="118"/>
      <c r="NPG136" s="118"/>
      <c r="NPH136" s="118"/>
      <c r="NPI136" s="118"/>
      <c r="NPJ136" s="118"/>
      <c r="NPV136" s="82"/>
      <c r="NPY136" s="69"/>
      <c r="NQC136" s="116"/>
      <c r="NQD136" s="116"/>
      <c r="NQE136" s="116"/>
      <c r="NQF136" s="116"/>
      <c r="NQG136" s="116"/>
      <c r="NQH136" s="116"/>
      <c r="NQI136" s="116"/>
      <c r="NQJ136" s="116"/>
      <c r="NQK136" s="116"/>
      <c r="NQL136" s="116"/>
      <c r="NQM136" s="116"/>
      <c r="NQN136" s="116"/>
      <c r="NQO136" s="116"/>
      <c r="NQP136" s="116"/>
      <c r="NQQ136" s="118"/>
      <c r="NQR136" s="118"/>
      <c r="NQS136" s="118"/>
      <c r="NQT136" s="118"/>
      <c r="NQU136" s="118"/>
      <c r="NQV136" s="118"/>
      <c r="NQW136" s="118"/>
      <c r="NQX136" s="118"/>
      <c r="NQY136" s="118"/>
      <c r="NQZ136" s="118"/>
      <c r="NRA136" s="118"/>
      <c r="NRB136" s="118"/>
      <c r="NRC136" s="118"/>
      <c r="NRD136" s="118"/>
      <c r="NRE136" s="118"/>
      <c r="NRJ136" s="118"/>
      <c r="NRK136" s="118"/>
      <c r="NRL136" s="118"/>
      <c r="NRM136" s="118"/>
      <c r="NRN136" s="118"/>
      <c r="NRO136" s="118"/>
      <c r="NRP136" s="118"/>
      <c r="NRQ136" s="118"/>
      <c r="NRR136" s="118"/>
      <c r="NRS136" s="118"/>
      <c r="NSE136" s="82"/>
      <c r="NSH136" s="69"/>
      <c r="NSL136" s="116"/>
      <c r="NSM136" s="116"/>
      <c r="NSN136" s="116"/>
      <c r="NSO136" s="116"/>
      <c r="NSP136" s="116"/>
      <c r="NSQ136" s="116"/>
      <c r="NSR136" s="116"/>
      <c r="NSS136" s="116"/>
      <c r="NST136" s="116"/>
      <c r="NSU136" s="116"/>
      <c r="NSV136" s="116"/>
      <c r="NSW136" s="116"/>
      <c r="NSX136" s="116"/>
      <c r="NSY136" s="116"/>
      <c r="NSZ136" s="118"/>
      <c r="NTA136" s="118"/>
      <c r="NTB136" s="118"/>
      <c r="NTC136" s="118"/>
      <c r="NTD136" s="118"/>
      <c r="NTE136" s="118"/>
      <c r="NTF136" s="118"/>
      <c r="NTG136" s="118"/>
      <c r="NTH136" s="118"/>
      <c r="NTI136" s="118"/>
      <c r="NTJ136" s="118"/>
      <c r="NTK136" s="118"/>
      <c r="NTL136" s="118"/>
      <c r="NTM136" s="118"/>
      <c r="NTN136" s="118"/>
      <c r="NTS136" s="118"/>
      <c r="NTT136" s="118"/>
      <c r="NTU136" s="118"/>
      <c r="NTV136" s="118"/>
      <c r="NTW136" s="118"/>
      <c r="NTX136" s="118"/>
      <c r="NTY136" s="118"/>
      <c r="NTZ136" s="118"/>
      <c r="NUA136" s="118"/>
      <c r="NUB136" s="118"/>
      <c r="NUN136" s="82"/>
      <c r="NUQ136" s="69"/>
      <c r="NUU136" s="116"/>
      <c r="NUV136" s="116"/>
      <c r="NUW136" s="116"/>
      <c r="NUX136" s="116"/>
      <c r="NUY136" s="116"/>
      <c r="NUZ136" s="116"/>
      <c r="NVA136" s="116"/>
      <c r="NVB136" s="116"/>
      <c r="NVC136" s="116"/>
      <c r="NVD136" s="116"/>
      <c r="NVE136" s="116"/>
      <c r="NVF136" s="116"/>
      <c r="NVG136" s="116"/>
      <c r="NVH136" s="116"/>
      <c r="NVI136" s="118"/>
      <c r="NVJ136" s="118"/>
      <c r="NVK136" s="118"/>
      <c r="NVL136" s="118"/>
      <c r="NVM136" s="118"/>
      <c r="NVN136" s="118"/>
      <c r="NVO136" s="118"/>
      <c r="NVP136" s="118"/>
      <c r="NVQ136" s="118"/>
      <c r="NVR136" s="118"/>
      <c r="NVS136" s="118"/>
      <c r="NVT136" s="118"/>
      <c r="NVU136" s="118"/>
      <c r="NVV136" s="118"/>
      <c r="NVW136" s="118"/>
      <c r="NWB136" s="118"/>
      <c r="NWC136" s="118"/>
      <c r="NWD136" s="118"/>
      <c r="NWE136" s="118"/>
      <c r="NWF136" s="118"/>
      <c r="NWG136" s="118"/>
      <c r="NWH136" s="118"/>
      <c r="NWI136" s="118"/>
      <c r="NWJ136" s="118"/>
      <c r="NWK136" s="118"/>
      <c r="NWW136" s="82"/>
      <c r="NWZ136" s="69"/>
      <c r="NXD136" s="116"/>
      <c r="NXE136" s="116"/>
      <c r="NXF136" s="116"/>
      <c r="NXG136" s="116"/>
      <c r="NXH136" s="116"/>
      <c r="NXI136" s="116"/>
      <c r="NXJ136" s="116"/>
      <c r="NXK136" s="116"/>
      <c r="NXL136" s="116"/>
      <c r="NXM136" s="116"/>
      <c r="NXN136" s="116"/>
      <c r="NXO136" s="116"/>
      <c r="NXP136" s="116"/>
      <c r="NXQ136" s="116"/>
      <c r="NXR136" s="118"/>
      <c r="NXS136" s="118"/>
      <c r="NXT136" s="118"/>
      <c r="NXU136" s="118"/>
      <c r="NXV136" s="118"/>
      <c r="NXW136" s="118"/>
      <c r="NXX136" s="118"/>
      <c r="NXY136" s="118"/>
      <c r="NXZ136" s="118"/>
      <c r="NYA136" s="118"/>
      <c r="NYB136" s="118"/>
      <c r="NYC136" s="118"/>
      <c r="NYD136" s="118"/>
      <c r="NYE136" s="118"/>
      <c r="NYF136" s="118"/>
      <c r="NYK136" s="118"/>
      <c r="NYL136" s="118"/>
      <c r="NYM136" s="118"/>
      <c r="NYN136" s="118"/>
      <c r="NYO136" s="118"/>
      <c r="NYP136" s="118"/>
      <c r="NYQ136" s="118"/>
      <c r="NYR136" s="118"/>
      <c r="NYS136" s="118"/>
      <c r="NYT136" s="118"/>
      <c r="NZF136" s="82"/>
      <c r="NZI136" s="69"/>
      <c r="NZM136" s="116"/>
      <c r="NZN136" s="116"/>
      <c r="NZO136" s="116"/>
      <c r="NZP136" s="116"/>
      <c r="NZQ136" s="116"/>
      <c r="NZR136" s="116"/>
      <c r="NZS136" s="116"/>
      <c r="NZT136" s="116"/>
      <c r="NZU136" s="116"/>
      <c r="NZV136" s="116"/>
      <c r="NZW136" s="116"/>
      <c r="NZX136" s="116"/>
      <c r="NZY136" s="116"/>
      <c r="NZZ136" s="116"/>
      <c r="OAA136" s="118"/>
      <c r="OAB136" s="118"/>
      <c r="OAC136" s="118"/>
      <c r="OAD136" s="118"/>
      <c r="OAE136" s="118"/>
      <c r="OAF136" s="118"/>
      <c r="OAG136" s="118"/>
      <c r="OAH136" s="118"/>
      <c r="OAI136" s="118"/>
      <c r="OAJ136" s="118"/>
      <c r="OAK136" s="118"/>
      <c r="OAL136" s="118"/>
      <c r="OAM136" s="118"/>
      <c r="OAN136" s="118"/>
      <c r="OAO136" s="118"/>
      <c r="OAT136" s="118"/>
      <c r="OAU136" s="118"/>
      <c r="OAV136" s="118"/>
      <c r="OAW136" s="118"/>
      <c r="OAX136" s="118"/>
      <c r="OAY136" s="118"/>
      <c r="OAZ136" s="118"/>
      <c r="OBA136" s="118"/>
      <c r="OBB136" s="118"/>
      <c r="OBC136" s="118"/>
      <c r="OBO136" s="82"/>
      <c r="OBR136" s="69"/>
      <c r="OBV136" s="116"/>
      <c r="OBW136" s="116"/>
      <c r="OBX136" s="116"/>
      <c r="OBY136" s="116"/>
      <c r="OBZ136" s="116"/>
      <c r="OCA136" s="116"/>
      <c r="OCB136" s="116"/>
      <c r="OCC136" s="116"/>
      <c r="OCD136" s="116"/>
      <c r="OCE136" s="116"/>
      <c r="OCF136" s="116"/>
      <c r="OCG136" s="116"/>
      <c r="OCH136" s="116"/>
      <c r="OCI136" s="116"/>
      <c r="OCJ136" s="118"/>
      <c r="OCK136" s="118"/>
      <c r="OCL136" s="118"/>
      <c r="OCM136" s="118"/>
      <c r="OCN136" s="118"/>
      <c r="OCO136" s="118"/>
      <c r="OCP136" s="118"/>
      <c r="OCQ136" s="118"/>
      <c r="OCR136" s="118"/>
      <c r="OCS136" s="118"/>
      <c r="OCT136" s="118"/>
      <c r="OCU136" s="118"/>
      <c r="OCV136" s="118"/>
      <c r="OCW136" s="118"/>
      <c r="OCX136" s="118"/>
      <c r="ODC136" s="118"/>
      <c r="ODD136" s="118"/>
      <c r="ODE136" s="118"/>
      <c r="ODF136" s="118"/>
      <c r="ODG136" s="118"/>
      <c r="ODH136" s="118"/>
      <c r="ODI136" s="118"/>
      <c r="ODJ136" s="118"/>
      <c r="ODK136" s="118"/>
      <c r="ODL136" s="118"/>
      <c r="ODX136" s="82"/>
      <c r="OEA136" s="69"/>
      <c r="OEE136" s="116"/>
      <c r="OEF136" s="116"/>
      <c r="OEG136" s="116"/>
      <c r="OEH136" s="116"/>
      <c r="OEI136" s="116"/>
      <c r="OEJ136" s="116"/>
      <c r="OEK136" s="116"/>
      <c r="OEL136" s="116"/>
      <c r="OEM136" s="116"/>
      <c r="OEN136" s="116"/>
      <c r="OEO136" s="116"/>
      <c r="OEP136" s="116"/>
      <c r="OEQ136" s="116"/>
      <c r="OER136" s="116"/>
      <c r="OES136" s="118"/>
      <c r="OET136" s="118"/>
      <c r="OEU136" s="118"/>
      <c r="OEV136" s="118"/>
      <c r="OEW136" s="118"/>
      <c r="OEX136" s="118"/>
      <c r="OEY136" s="118"/>
      <c r="OEZ136" s="118"/>
      <c r="OFA136" s="118"/>
      <c r="OFB136" s="118"/>
      <c r="OFC136" s="118"/>
      <c r="OFD136" s="118"/>
      <c r="OFE136" s="118"/>
      <c r="OFF136" s="118"/>
      <c r="OFG136" s="118"/>
      <c r="OFL136" s="118"/>
      <c r="OFM136" s="118"/>
      <c r="OFN136" s="118"/>
      <c r="OFO136" s="118"/>
      <c r="OFP136" s="118"/>
      <c r="OFQ136" s="118"/>
      <c r="OFR136" s="118"/>
      <c r="OFS136" s="118"/>
      <c r="OFT136" s="118"/>
      <c r="OFU136" s="118"/>
      <c r="OGG136" s="82"/>
      <c r="OGJ136" s="69"/>
      <c r="OGN136" s="116"/>
      <c r="OGO136" s="116"/>
      <c r="OGP136" s="116"/>
      <c r="OGQ136" s="116"/>
      <c r="OGR136" s="116"/>
      <c r="OGS136" s="116"/>
      <c r="OGT136" s="116"/>
      <c r="OGU136" s="116"/>
      <c r="OGV136" s="116"/>
      <c r="OGW136" s="116"/>
      <c r="OGX136" s="116"/>
      <c r="OGY136" s="116"/>
      <c r="OGZ136" s="116"/>
      <c r="OHA136" s="116"/>
      <c r="OHB136" s="118"/>
      <c r="OHC136" s="118"/>
      <c r="OHD136" s="118"/>
      <c r="OHE136" s="118"/>
      <c r="OHF136" s="118"/>
      <c r="OHG136" s="118"/>
      <c r="OHH136" s="118"/>
      <c r="OHI136" s="118"/>
      <c r="OHJ136" s="118"/>
      <c r="OHK136" s="118"/>
      <c r="OHL136" s="118"/>
      <c r="OHM136" s="118"/>
      <c r="OHN136" s="118"/>
      <c r="OHO136" s="118"/>
      <c r="OHP136" s="118"/>
      <c r="OHU136" s="118"/>
      <c r="OHV136" s="118"/>
      <c r="OHW136" s="118"/>
      <c r="OHX136" s="118"/>
      <c r="OHY136" s="118"/>
      <c r="OHZ136" s="118"/>
      <c r="OIA136" s="118"/>
      <c r="OIB136" s="118"/>
      <c r="OIC136" s="118"/>
      <c r="OID136" s="118"/>
      <c r="OIP136" s="82"/>
      <c r="OIS136" s="69"/>
      <c r="OIW136" s="116"/>
      <c r="OIX136" s="116"/>
      <c r="OIY136" s="116"/>
      <c r="OIZ136" s="116"/>
      <c r="OJA136" s="116"/>
      <c r="OJB136" s="116"/>
      <c r="OJC136" s="116"/>
      <c r="OJD136" s="116"/>
      <c r="OJE136" s="116"/>
      <c r="OJF136" s="116"/>
      <c r="OJG136" s="116"/>
      <c r="OJH136" s="116"/>
      <c r="OJI136" s="116"/>
      <c r="OJJ136" s="116"/>
      <c r="OJK136" s="118"/>
      <c r="OJL136" s="118"/>
      <c r="OJM136" s="118"/>
      <c r="OJN136" s="118"/>
      <c r="OJO136" s="118"/>
      <c r="OJP136" s="118"/>
      <c r="OJQ136" s="118"/>
      <c r="OJR136" s="118"/>
      <c r="OJS136" s="118"/>
      <c r="OJT136" s="118"/>
      <c r="OJU136" s="118"/>
      <c r="OJV136" s="118"/>
      <c r="OJW136" s="118"/>
      <c r="OJX136" s="118"/>
      <c r="OJY136" s="118"/>
      <c r="OKD136" s="118"/>
      <c r="OKE136" s="118"/>
      <c r="OKF136" s="118"/>
      <c r="OKG136" s="118"/>
      <c r="OKH136" s="118"/>
      <c r="OKI136" s="118"/>
      <c r="OKJ136" s="118"/>
      <c r="OKK136" s="118"/>
      <c r="OKL136" s="118"/>
      <c r="OKM136" s="118"/>
      <c r="OKY136" s="82"/>
      <c r="OLB136" s="69"/>
      <c r="OLF136" s="116"/>
      <c r="OLG136" s="116"/>
      <c r="OLH136" s="116"/>
      <c r="OLI136" s="116"/>
      <c r="OLJ136" s="116"/>
      <c r="OLK136" s="116"/>
      <c r="OLL136" s="116"/>
      <c r="OLM136" s="116"/>
      <c r="OLN136" s="116"/>
      <c r="OLO136" s="116"/>
      <c r="OLP136" s="116"/>
      <c r="OLQ136" s="116"/>
      <c r="OLR136" s="116"/>
      <c r="OLS136" s="116"/>
      <c r="OLT136" s="118"/>
      <c r="OLU136" s="118"/>
      <c r="OLV136" s="118"/>
      <c r="OLW136" s="118"/>
      <c r="OLX136" s="118"/>
      <c r="OLY136" s="118"/>
      <c r="OLZ136" s="118"/>
      <c r="OMA136" s="118"/>
      <c r="OMB136" s="118"/>
      <c r="OMC136" s="118"/>
      <c r="OMD136" s="118"/>
      <c r="OME136" s="118"/>
      <c r="OMF136" s="118"/>
      <c r="OMG136" s="118"/>
      <c r="OMH136" s="118"/>
      <c r="OMM136" s="118"/>
      <c r="OMN136" s="118"/>
      <c r="OMO136" s="118"/>
      <c r="OMP136" s="118"/>
      <c r="OMQ136" s="118"/>
      <c r="OMR136" s="118"/>
      <c r="OMS136" s="118"/>
      <c r="OMT136" s="118"/>
      <c r="OMU136" s="118"/>
      <c r="OMV136" s="118"/>
      <c r="ONH136" s="82"/>
      <c r="ONK136" s="69"/>
      <c r="ONO136" s="116"/>
      <c r="ONP136" s="116"/>
      <c r="ONQ136" s="116"/>
      <c r="ONR136" s="116"/>
      <c r="ONS136" s="116"/>
      <c r="ONT136" s="116"/>
      <c r="ONU136" s="116"/>
      <c r="ONV136" s="116"/>
      <c r="ONW136" s="116"/>
      <c r="ONX136" s="116"/>
      <c r="ONY136" s="116"/>
      <c r="ONZ136" s="116"/>
      <c r="OOA136" s="116"/>
      <c r="OOB136" s="116"/>
      <c r="OOC136" s="118"/>
      <c r="OOD136" s="118"/>
      <c r="OOE136" s="118"/>
      <c r="OOF136" s="118"/>
      <c r="OOG136" s="118"/>
      <c r="OOH136" s="118"/>
      <c r="OOI136" s="118"/>
      <c r="OOJ136" s="118"/>
      <c r="OOK136" s="118"/>
      <c r="OOL136" s="118"/>
      <c r="OOM136" s="118"/>
      <c r="OON136" s="118"/>
      <c r="OOO136" s="118"/>
      <c r="OOP136" s="118"/>
      <c r="OOQ136" s="118"/>
      <c r="OOV136" s="118"/>
      <c r="OOW136" s="118"/>
      <c r="OOX136" s="118"/>
      <c r="OOY136" s="118"/>
      <c r="OOZ136" s="118"/>
      <c r="OPA136" s="118"/>
      <c r="OPB136" s="118"/>
      <c r="OPC136" s="118"/>
      <c r="OPD136" s="118"/>
      <c r="OPE136" s="118"/>
      <c r="OPQ136" s="82"/>
      <c r="OPT136" s="69"/>
      <c r="OPX136" s="116"/>
      <c r="OPY136" s="116"/>
      <c r="OPZ136" s="116"/>
      <c r="OQA136" s="116"/>
      <c r="OQB136" s="116"/>
      <c r="OQC136" s="116"/>
      <c r="OQD136" s="116"/>
      <c r="OQE136" s="116"/>
      <c r="OQF136" s="116"/>
      <c r="OQG136" s="116"/>
      <c r="OQH136" s="116"/>
      <c r="OQI136" s="116"/>
      <c r="OQJ136" s="116"/>
      <c r="OQK136" s="116"/>
      <c r="OQL136" s="118"/>
      <c r="OQM136" s="118"/>
      <c r="OQN136" s="118"/>
      <c r="OQO136" s="118"/>
      <c r="OQP136" s="118"/>
      <c r="OQQ136" s="118"/>
      <c r="OQR136" s="118"/>
      <c r="OQS136" s="118"/>
      <c r="OQT136" s="118"/>
      <c r="OQU136" s="118"/>
      <c r="OQV136" s="118"/>
      <c r="OQW136" s="118"/>
      <c r="OQX136" s="118"/>
      <c r="OQY136" s="118"/>
      <c r="OQZ136" s="118"/>
      <c r="ORE136" s="118"/>
      <c r="ORF136" s="118"/>
      <c r="ORG136" s="118"/>
      <c r="ORH136" s="118"/>
      <c r="ORI136" s="118"/>
      <c r="ORJ136" s="118"/>
      <c r="ORK136" s="118"/>
      <c r="ORL136" s="118"/>
      <c r="ORM136" s="118"/>
      <c r="ORN136" s="118"/>
      <c r="ORZ136" s="82"/>
      <c r="OSC136" s="69"/>
      <c r="OSG136" s="116"/>
      <c r="OSH136" s="116"/>
      <c r="OSI136" s="116"/>
      <c r="OSJ136" s="116"/>
      <c r="OSK136" s="116"/>
      <c r="OSL136" s="116"/>
      <c r="OSM136" s="116"/>
      <c r="OSN136" s="116"/>
      <c r="OSO136" s="116"/>
      <c r="OSP136" s="116"/>
      <c r="OSQ136" s="116"/>
      <c r="OSR136" s="116"/>
      <c r="OSS136" s="116"/>
      <c r="OST136" s="116"/>
      <c r="OSU136" s="118"/>
      <c r="OSV136" s="118"/>
      <c r="OSW136" s="118"/>
      <c r="OSX136" s="118"/>
      <c r="OSY136" s="118"/>
      <c r="OSZ136" s="118"/>
      <c r="OTA136" s="118"/>
      <c r="OTB136" s="118"/>
      <c r="OTC136" s="118"/>
      <c r="OTD136" s="118"/>
      <c r="OTE136" s="118"/>
      <c r="OTF136" s="118"/>
      <c r="OTG136" s="118"/>
      <c r="OTH136" s="118"/>
      <c r="OTI136" s="118"/>
      <c r="OTN136" s="118"/>
      <c r="OTO136" s="118"/>
      <c r="OTP136" s="118"/>
      <c r="OTQ136" s="118"/>
      <c r="OTR136" s="118"/>
      <c r="OTS136" s="118"/>
      <c r="OTT136" s="118"/>
      <c r="OTU136" s="118"/>
      <c r="OTV136" s="118"/>
      <c r="OTW136" s="118"/>
      <c r="OUI136" s="82"/>
      <c r="OUL136" s="69"/>
      <c r="OUP136" s="116"/>
      <c r="OUQ136" s="116"/>
      <c r="OUR136" s="116"/>
      <c r="OUS136" s="116"/>
      <c r="OUT136" s="116"/>
      <c r="OUU136" s="116"/>
      <c r="OUV136" s="116"/>
      <c r="OUW136" s="116"/>
      <c r="OUX136" s="116"/>
      <c r="OUY136" s="116"/>
      <c r="OUZ136" s="116"/>
      <c r="OVA136" s="116"/>
      <c r="OVB136" s="116"/>
      <c r="OVC136" s="116"/>
      <c r="OVD136" s="118"/>
      <c r="OVE136" s="118"/>
      <c r="OVF136" s="118"/>
      <c r="OVG136" s="118"/>
      <c r="OVH136" s="118"/>
      <c r="OVI136" s="118"/>
      <c r="OVJ136" s="118"/>
      <c r="OVK136" s="118"/>
      <c r="OVL136" s="118"/>
      <c r="OVM136" s="118"/>
      <c r="OVN136" s="118"/>
      <c r="OVO136" s="118"/>
      <c r="OVP136" s="118"/>
      <c r="OVQ136" s="118"/>
      <c r="OVR136" s="118"/>
      <c r="OVW136" s="118"/>
      <c r="OVX136" s="118"/>
      <c r="OVY136" s="118"/>
      <c r="OVZ136" s="118"/>
      <c r="OWA136" s="118"/>
      <c r="OWB136" s="118"/>
      <c r="OWC136" s="118"/>
      <c r="OWD136" s="118"/>
      <c r="OWE136" s="118"/>
      <c r="OWF136" s="118"/>
      <c r="OWR136" s="82"/>
      <c r="OWU136" s="69"/>
      <c r="OWY136" s="116"/>
      <c r="OWZ136" s="116"/>
      <c r="OXA136" s="116"/>
      <c r="OXB136" s="116"/>
      <c r="OXC136" s="116"/>
      <c r="OXD136" s="116"/>
      <c r="OXE136" s="116"/>
      <c r="OXF136" s="116"/>
      <c r="OXG136" s="116"/>
      <c r="OXH136" s="116"/>
      <c r="OXI136" s="116"/>
      <c r="OXJ136" s="116"/>
      <c r="OXK136" s="116"/>
      <c r="OXL136" s="116"/>
      <c r="OXM136" s="118"/>
      <c r="OXN136" s="118"/>
      <c r="OXO136" s="118"/>
      <c r="OXP136" s="118"/>
      <c r="OXQ136" s="118"/>
      <c r="OXR136" s="118"/>
      <c r="OXS136" s="118"/>
      <c r="OXT136" s="118"/>
      <c r="OXU136" s="118"/>
      <c r="OXV136" s="118"/>
      <c r="OXW136" s="118"/>
      <c r="OXX136" s="118"/>
      <c r="OXY136" s="118"/>
      <c r="OXZ136" s="118"/>
      <c r="OYA136" s="118"/>
      <c r="OYF136" s="118"/>
      <c r="OYG136" s="118"/>
      <c r="OYH136" s="118"/>
      <c r="OYI136" s="118"/>
      <c r="OYJ136" s="118"/>
      <c r="OYK136" s="118"/>
      <c r="OYL136" s="118"/>
      <c r="OYM136" s="118"/>
      <c r="OYN136" s="118"/>
      <c r="OYO136" s="118"/>
      <c r="OZA136" s="82"/>
      <c r="OZD136" s="69"/>
      <c r="OZH136" s="116"/>
      <c r="OZI136" s="116"/>
      <c r="OZJ136" s="116"/>
      <c r="OZK136" s="116"/>
      <c r="OZL136" s="116"/>
      <c r="OZM136" s="116"/>
      <c r="OZN136" s="116"/>
      <c r="OZO136" s="116"/>
      <c r="OZP136" s="116"/>
      <c r="OZQ136" s="116"/>
      <c r="OZR136" s="116"/>
      <c r="OZS136" s="116"/>
      <c r="OZT136" s="116"/>
      <c r="OZU136" s="116"/>
      <c r="OZV136" s="118"/>
      <c r="OZW136" s="118"/>
      <c r="OZX136" s="118"/>
      <c r="OZY136" s="118"/>
      <c r="OZZ136" s="118"/>
      <c r="PAA136" s="118"/>
      <c r="PAB136" s="118"/>
      <c r="PAC136" s="118"/>
      <c r="PAD136" s="118"/>
      <c r="PAE136" s="118"/>
      <c r="PAF136" s="118"/>
      <c r="PAG136" s="118"/>
      <c r="PAH136" s="118"/>
      <c r="PAI136" s="118"/>
      <c r="PAJ136" s="118"/>
      <c r="PAO136" s="118"/>
      <c r="PAP136" s="118"/>
      <c r="PAQ136" s="118"/>
      <c r="PAR136" s="118"/>
      <c r="PAS136" s="118"/>
      <c r="PAT136" s="118"/>
      <c r="PAU136" s="118"/>
      <c r="PAV136" s="118"/>
      <c r="PAW136" s="118"/>
      <c r="PAX136" s="118"/>
      <c r="PBJ136" s="82"/>
      <c r="PBM136" s="69"/>
      <c r="PBQ136" s="116"/>
      <c r="PBR136" s="116"/>
      <c r="PBS136" s="116"/>
      <c r="PBT136" s="116"/>
      <c r="PBU136" s="116"/>
      <c r="PBV136" s="116"/>
      <c r="PBW136" s="116"/>
      <c r="PBX136" s="116"/>
      <c r="PBY136" s="116"/>
      <c r="PBZ136" s="116"/>
      <c r="PCA136" s="116"/>
      <c r="PCB136" s="116"/>
      <c r="PCC136" s="116"/>
      <c r="PCD136" s="116"/>
      <c r="PCE136" s="118"/>
      <c r="PCF136" s="118"/>
      <c r="PCG136" s="118"/>
      <c r="PCH136" s="118"/>
      <c r="PCI136" s="118"/>
      <c r="PCJ136" s="118"/>
      <c r="PCK136" s="118"/>
      <c r="PCL136" s="118"/>
      <c r="PCM136" s="118"/>
      <c r="PCN136" s="118"/>
      <c r="PCO136" s="118"/>
      <c r="PCP136" s="118"/>
      <c r="PCQ136" s="118"/>
      <c r="PCR136" s="118"/>
      <c r="PCS136" s="118"/>
      <c r="PCX136" s="118"/>
      <c r="PCY136" s="118"/>
      <c r="PCZ136" s="118"/>
      <c r="PDA136" s="118"/>
      <c r="PDB136" s="118"/>
      <c r="PDC136" s="118"/>
      <c r="PDD136" s="118"/>
      <c r="PDE136" s="118"/>
      <c r="PDF136" s="118"/>
      <c r="PDG136" s="118"/>
      <c r="PDS136" s="82"/>
      <c r="PDV136" s="69"/>
      <c r="PDZ136" s="116"/>
      <c r="PEA136" s="116"/>
      <c r="PEB136" s="116"/>
      <c r="PEC136" s="116"/>
      <c r="PED136" s="116"/>
      <c r="PEE136" s="116"/>
      <c r="PEF136" s="116"/>
      <c r="PEG136" s="116"/>
      <c r="PEH136" s="116"/>
      <c r="PEI136" s="116"/>
      <c r="PEJ136" s="116"/>
      <c r="PEK136" s="116"/>
      <c r="PEL136" s="116"/>
      <c r="PEM136" s="116"/>
      <c r="PEN136" s="118"/>
      <c r="PEO136" s="118"/>
      <c r="PEP136" s="118"/>
      <c r="PEQ136" s="118"/>
      <c r="PER136" s="118"/>
      <c r="PES136" s="118"/>
      <c r="PET136" s="118"/>
      <c r="PEU136" s="118"/>
      <c r="PEV136" s="118"/>
      <c r="PEW136" s="118"/>
      <c r="PEX136" s="118"/>
      <c r="PEY136" s="118"/>
      <c r="PEZ136" s="118"/>
      <c r="PFA136" s="118"/>
      <c r="PFB136" s="118"/>
      <c r="PFG136" s="118"/>
      <c r="PFH136" s="118"/>
      <c r="PFI136" s="118"/>
      <c r="PFJ136" s="118"/>
      <c r="PFK136" s="118"/>
      <c r="PFL136" s="118"/>
      <c r="PFM136" s="118"/>
      <c r="PFN136" s="118"/>
      <c r="PFO136" s="118"/>
      <c r="PFP136" s="118"/>
      <c r="PGB136" s="82"/>
      <c r="PGE136" s="69"/>
      <c r="PGI136" s="116"/>
      <c r="PGJ136" s="116"/>
      <c r="PGK136" s="116"/>
      <c r="PGL136" s="116"/>
      <c r="PGM136" s="116"/>
      <c r="PGN136" s="116"/>
      <c r="PGO136" s="116"/>
      <c r="PGP136" s="116"/>
      <c r="PGQ136" s="116"/>
      <c r="PGR136" s="116"/>
      <c r="PGS136" s="116"/>
      <c r="PGT136" s="116"/>
      <c r="PGU136" s="116"/>
      <c r="PGV136" s="116"/>
      <c r="PGW136" s="118"/>
      <c r="PGX136" s="118"/>
      <c r="PGY136" s="118"/>
      <c r="PGZ136" s="118"/>
      <c r="PHA136" s="118"/>
      <c r="PHB136" s="118"/>
      <c r="PHC136" s="118"/>
      <c r="PHD136" s="118"/>
      <c r="PHE136" s="118"/>
      <c r="PHF136" s="118"/>
      <c r="PHG136" s="118"/>
      <c r="PHH136" s="118"/>
      <c r="PHI136" s="118"/>
      <c r="PHJ136" s="118"/>
      <c r="PHK136" s="118"/>
      <c r="PHP136" s="118"/>
      <c r="PHQ136" s="118"/>
      <c r="PHR136" s="118"/>
      <c r="PHS136" s="118"/>
      <c r="PHT136" s="118"/>
      <c r="PHU136" s="118"/>
      <c r="PHV136" s="118"/>
      <c r="PHW136" s="118"/>
      <c r="PHX136" s="118"/>
      <c r="PHY136" s="118"/>
      <c r="PIK136" s="82"/>
      <c r="PIN136" s="69"/>
      <c r="PIR136" s="116"/>
      <c r="PIS136" s="116"/>
      <c r="PIT136" s="116"/>
      <c r="PIU136" s="116"/>
      <c r="PIV136" s="116"/>
      <c r="PIW136" s="116"/>
      <c r="PIX136" s="116"/>
      <c r="PIY136" s="116"/>
      <c r="PIZ136" s="116"/>
      <c r="PJA136" s="116"/>
      <c r="PJB136" s="116"/>
      <c r="PJC136" s="116"/>
      <c r="PJD136" s="116"/>
      <c r="PJE136" s="116"/>
      <c r="PJF136" s="118"/>
      <c r="PJG136" s="118"/>
      <c r="PJH136" s="118"/>
      <c r="PJI136" s="118"/>
      <c r="PJJ136" s="118"/>
      <c r="PJK136" s="118"/>
      <c r="PJL136" s="118"/>
      <c r="PJM136" s="118"/>
      <c r="PJN136" s="118"/>
      <c r="PJO136" s="118"/>
      <c r="PJP136" s="118"/>
      <c r="PJQ136" s="118"/>
      <c r="PJR136" s="118"/>
      <c r="PJS136" s="118"/>
      <c r="PJT136" s="118"/>
      <c r="PJY136" s="118"/>
      <c r="PJZ136" s="118"/>
      <c r="PKA136" s="118"/>
      <c r="PKB136" s="118"/>
      <c r="PKC136" s="118"/>
      <c r="PKD136" s="118"/>
      <c r="PKE136" s="118"/>
      <c r="PKF136" s="118"/>
      <c r="PKG136" s="118"/>
      <c r="PKH136" s="118"/>
      <c r="PKT136" s="82"/>
      <c r="PKW136" s="69"/>
      <c r="PLA136" s="116"/>
      <c r="PLB136" s="116"/>
      <c r="PLC136" s="116"/>
      <c r="PLD136" s="116"/>
      <c r="PLE136" s="116"/>
      <c r="PLF136" s="116"/>
      <c r="PLG136" s="116"/>
      <c r="PLH136" s="116"/>
      <c r="PLI136" s="116"/>
      <c r="PLJ136" s="116"/>
      <c r="PLK136" s="116"/>
      <c r="PLL136" s="116"/>
      <c r="PLM136" s="116"/>
      <c r="PLN136" s="116"/>
      <c r="PLO136" s="118"/>
      <c r="PLP136" s="118"/>
      <c r="PLQ136" s="118"/>
      <c r="PLR136" s="118"/>
      <c r="PLS136" s="118"/>
      <c r="PLT136" s="118"/>
      <c r="PLU136" s="118"/>
      <c r="PLV136" s="118"/>
      <c r="PLW136" s="118"/>
      <c r="PLX136" s="118"/>
      <c r="PLY136" s="118"/>
      <c r="PLZ136" s="118"/>
      <c r="PMA136" s="118"/>
      <c r="PMB136" s="118"/>
      <c r="PMC136" s="118"/>
      <c r="PMH136" s="118"/>
      <c r="PMI136" s="118"/>
      <c r="PMJ136" s="118"/>
      <c r="PMK136" s="118"/>
      <c r="PML136" s="118"/>
      <c r="PMM136" s="118"/>
      <c r="PMN136" s="118"/>
      <c r="PMO136" s="118"/>
      <c r="PMP136" s="118"/>
      <c r="PMQ136" s="118"/>
      <c r="PNC136" s="82"/>
      <c r="PNF136" s="69"/>
      <c r="PNJ136" s="116"/>
      <c r="PNK136" s="116"/>
      <c r="PNL136" s="116"/>
      <c r="PNM136" s="116"/>
      <c r="PNN136" s="116"/>
      <c r="PNO136" s="116"/>
      <c r="PNP136" s="116"/>
      <c r="PNQ136" s="116"/>
      <c r="PNR136" s="116"/>
      <c r="PNS136" s="116"/>
      <c r="PNT136" s="116"/>
      <c r="PNU136" s="116"/>
      <c r="PNV136" s="116"/>
      <c r="PNW136" s="116"/>
      <c r="PNX136" s="118"/>
      <c r="PNY136" s="118"/>
      <c r="PNZ136" s="118"/>
      <c r="POA136" s="118"/>
      <c r="POB136" s="118"/>
      <c r="POC136" s="118"/>
      <c r="POD136" s="118"/>
      <c r="POE136" s="118"/>
      <c r="POF136" s="118"/>
      <c r="POG136" s="118"/>
      <c r="POH136" s="118"/>
      <c r="POI136" s="118"/>
      <c r="POJ136" s="118"/>
      <c r="POK136" s="118"/>
      <c r="POL136" s="118"/>
      <c r="POQ136" s="118"/>
      <c r="POR136" s="118"/>
      <c r="POS136" s="118"/>
      <c r="POT136" s="118"/>
      <c r="POU136" s="118"/>
      <c r="POV136" s="118"/>
      <c r="POW136" s="118"/>
      <c r="POX136" s="118"/>
      <c r="POY136" s="118"/>
      <c r="POZ136" s="118"/>
      <c r="PPL136" s="82"/>
      <c r="PPO136" s="69"/>
      <c r="PPS136" s="116"/>
      <c r="PPT136" s="116"/>
      <c r="PPU136" s="116"/>
      <c r="PPV136" s="116"/>
      <c r="PPW136" s="116"/>
      <c r="PPX136" s="116"/>
      <c r="PPY136" s="116"/>
      <c r="PPZ136" s="116"/>
      <c r="PQA136" s="116"/>
      <c r="PQB136" s="116"/>
      <c r="PQC136" s="116"/>
      <c r="PQD136" s="116"/>
      <c r="PQE136" s="116"/>
      <c r="PQF136" s="116"/>
      <c r="PQG136" s="118"/>
      <c r="PQH136" s="118"/>
      <c r="PQI136" s="118"/>
      <c r="PQJ136" s="118"/>
      <c r="PQK136" s="118"/>
      <c r="PQL136" s="118"/>
      <c r="PQM136" s="118"/>
      <c r="PQN136" s="118"/>
      <c r="PQO136" s="118"/>
      <c r="PQP136" s="118"/>
      <c r="PQQ136" s="118"/>
      <c r="PQR136" s="118"/>
      <c r="PQS136" s="118"/>
      <c r="PQT136" s="118"/>
      <c r="PQU136" s="118"/>
      <c r="PQZ136" s="118"/>
      <c r="PRA136" s="118"/>
      <c r="PRB136" s="118"/>
      <c r="PRC136" s="118"/>
      <c r="PRD136" s="118"/>
      <c r="PRE136" s="118"/>
      <c r="PRF136" s="118"/>
      <c r="PRG136" s="118"/>
      <c r="PRH136" s="118"/>
      <c r="PRI136" s="118"/>
      <c r="PRU136" s="82"/>
      <c r="PRX136" s="69"/>
      <c r="PSB136" s="116"/>
      <c r="PSC136" s="116"/>
      <c r="PSD136" s="116"/>
      <c r="PSE136" s="116"/>
      <c r="PSF136" s="116"/>
      <c r="PSG136" s="116"/>
      <c r="PSH136" s="116"/>
      <c r="PSI136" s="116"/>
      <c r="PSJ136" s="116"/>
      <c r="PSK136" s="116"/>
      <c r="PSL136" s="116"/>
      <c r="PSM136" s="116"/>
      <c r="PSN136" s="116"/>
      <c r="PSO136" s="116"/>
      <c r="PSP136" s="118"/>
      <c r="PSQ136" s="118"/>
      <c r="PSR136" s="118"/>
      <c r="PSS136" s="118"/>
      <c r="PST136" s="118"/>
      <c r="PSU136" s="118"/>
      <c r="PSV136" s="118"/>
      <c r="PSW136" s="118"/>
      <c r="PSX136" s="118"/>
      <c r="PSY136" s="118"/>
      <c r="PSZ136" s="118"/>
      <c r="PTA136" s="118"/>
      <c r="PTB136" s="118"/>
      <c r="PTC136" s="118"/>
      <c r="PTD136" s="118"/>
      <c r="PTI136" s="118"/>
      <c r="PTJ136" s="118"/>
      <c r="PTK136" s="118"/>
      <c r="PTL136" s="118"/>
      <c r="PTM136" s="118"/>
      <c r="PTN136" s="118"/>
      <c r="PTO136" s="118"/>
      <c r="PTP136" s="118"/>
      <c r="PTQ136" s="118"/>
      <c r="PTR136" s="118"/>
      <c r="PUD136" s="82"/>
      <c r="PUG136" s="69"/>
      <c r="PUK136" s="116"/>
      <c r="PUL136" s="116"/>
      <c r="PUM136" s="116"/>
      <c r="PUN136" s="116"/>
      <c r="PUO136" s="116"/>
      <c r="PUP136" s="116"/>
      <c r="PUQ136" s="116"/>
      <c r="PUR136" s="116"/>
      <c r="PUS136" s="116"/>
      <c r="PUT136" s="116"/>
      <c r="PUU136" s="116"/>
      <c r="PUV136" s="116"/>
      <c r="PUW136" s="116"/>
      <c r="PUX136" s="116"/>
      <c r="PUY136" s="118"/>
      <c r="PUZ136" s="118"/>
      <c r="PVA136" s="118"/>
      <c r="PVB136" s="118"/>
      <c r="PVC136" s="118"/>
      <c r="PVD136" s="118"/>
      <c r="PVE136" s="118"/>
      <c r="PVF136" s="118"/>
      <c r="PVG136" s="118"/>
      <c r="PVH136" s="118"/>
      <c r="PVI136" s="118"/>
      <c r="PVJ136" s="118"/>
      <c r="PVK136" s="118"/>
      <c r="PVL136" s="118"/>
      <c r="PVM136" s="118"/>
      <c r="PVR136" s="118"/>
      <c r="PVS136" s="118"/>
      <c r="PVT136" s="118"/>
      <c r="PVU136" s="118"/>
      <c r="PVV136" s="118"/>
      <c r="PVW136" s="118"/>
      <c r="PVX136" s="118"/>
      <c r="PVY136" s="118"/>
      <c r="PVZ136" s="118"/>
      <c r="PWA136" s="118"/>
      <c r="PWM136" s="82"/>
      <c r="PWP136" s="69"/>
      <c r="PWT136" s="116"/>
      <c r="PWU136" s="116"/>
      <c r="PWV136" s="116"/>
      <c r="PWW136" s="116"/>
      <c r="PWX136" s="116"/>
      <c r="PWY136" s="116"/>
      <c r="PWZ136" s="116"/>
      <c r="PXA136" s="116"/>
      <c r="PXB136" s="116"/>
      <c r="PXC136" s="116"/>
      <c r="PXD136" s="116"/>
      <c r="PXE136" s="116"/>
      <c r="PXF136" s="116"/>
      <c r="PXG136" s="116"/>
      <c r="PXH136" s="118"/>
      <c r="PXI136" s="118"/>
      <c r="PXJ136" s="118"/>
      <c r="PXK136" s="118"/>
      <c r="PXL136" s="118"/>
      <c r="PXM136" s="118"/>
      <c r="PXN136" s="118"/>
      <c r="PXO136" s="118"/>
      <c r="PXP136" s="118"/>
      <c r="PXQ136" s="118"/>
      <c r="PXR136" s="118"/>
      <c r="PXS136" s="118"/>
      <c r="PXT136" s="118"/>
      <c r="PXU136" s="118"/>
      <c r="PXV136" s="118"/>
      <c r="PYA136" s="118"/>
      <c r="PYB136" s="118"/>
      <c r="PYC136" s="118"/>
      <c r="PYD136" s="118"/>
      <c r="PYE136" s="118"/>
      <c r="PYF136" s="118"/>
      <c r="PYG136" s="118"/>
      <c r="PYH136" s="118"/>
      <c r="PYI136" s="118"/>
      <c r="PYJ136" s="118"/>
      <c r="PYV136" s="82"/>
      <c r="PYY136" s="69"/>
      <c r="PZC136" s="116"/>
      <c r="PZD136" s="116"/>
      <c r="PZE136" s="116"/>
      <c r="PZF136" s="116"/>
      <c r="PZG136" s="116"/>
      <c r="PZH136" s="116"/>
      <c r="PZI136" s="116"/>
      <c r="PZJ136" s="116"/>
      <c r="PZK136" s="116"/>
      <c r="PZL136" s="116"/>
      <c r="PZM136" s="116"/>
      <c r="PZN136" s="116"/>
      <c r="PZO136" s="116"/>
      <c r="PZP136" s="116"/>
      <c r="PZQ136" s="118"/>
      <c r="PZR136" s="118"/>
      <c r="PZS136" s="118"/>
      <c r="PZT136" s="118"/>
      <c r="PZU136" s="118"/>
      <c r="PZV136" s="118"/>
      <c r="PZW136" s="118"/>
      <c r="PZX136" s="118"/>
      <c r="PZY136" s="118"/>
      <c r="PZZ136" s="118"/>
      <c r="QAA136" s="118"/>
      <c r="QAB136" s="118"/>
      <c r="QAC136" s="118"/>
      <c r="QAD136" s="118"/>
      <c r="QAE136" s="118"/>
      <c r="QAJ136" s="118"/>
      <c r="QAK136" s="118"/>
      <c r="QAL136" s="118"/>
      <c r="QAM136" s="118"/>
      <c r="QAN136" s="118"/>
      <c r="QAO136" s="118"/>
      <c r="QAP136" s="118"/>
      <c r="QAQ136" s="118"/>
      <c r="QAR136" s="118"/>
      <c r="QAS136" s="118"/>
      <c r="QBE136" s="82"/>
      <c r="QBH136" s="69"/>
      <c r="QBL136" s="116"/>
      <c r="QBM136" s="116"/>
      <c r="QBN136" s="116"/>
      <c r="QBO136" s="116"/>
      <c r="QBP136" s="116"/>
      <c r="QBQ136" s="116"/>
      <c r="QBR136" s="116"/>
      <c r="QBS136" s="116"/>
      <c r="QBT136" s="116"/>
      <c r="QBU136" s="116"/>
      <c r="QBV136" s="116"/>
      <c r="QBW136" s="116"/>
      <c r="QBX136" s="116"/>
      <c r="QBY136" s="116"/>
      <c r="QBZ136" s="118"/>
      <c r="QCA136" s="118"/>
      <c r="QCB136" s="118"/>
      <c r="QCC136" s="118"/>
      <c r="QCD136" s="118"/>
      <c r="QCE136" s="118"/>
      <c r="QCF136" s="118"/>
      <c r="QCG136" s="118"/>
      <c r="QCH136" s="118"/>
      <c r="QCI136" s="118"/>
      <c r="QCJ136" s="118"/>
      <c r="QCK136" s="118"/>
      <c r="QCL136" s="118"/>
      <c r="QCM136" s="118"/>
      <c r="QCN136" s="118"/>
      <c r="QCS136" s="118"/>
      <c r="QCT136" s="118"/>
      <c r="QCU136" s="118"/>
      <c r="QCV136" s="118"/>
      <c r="QCW136" s="118"/>
      <c r="QCX136" s="118"/>
      <c r="QCY136" s="118"/>
      <c r="QCZ136" s="118"/>
      <c r="QDA136" s="118"/>
      <c r="QDB136" s="118"/>
      <c r="QDN136" s="82"/>
      <c r="QDQ136" s="69"/>
      <c r="QDU136" s="116"/>
      <c r="QDV136" s="116"/>
      <c r="QDW136" s="116"/>
      <c r="QDX136" s="116"/>
      <c r="QDY136" s="116"/>
      <c r="QDZ136" s="116"/>
      <c r="QEA136" s="116"/>
      <c r="QEB136" s="116"/>
      <c r="QEC136" s="116"/>
      <c r="QED136" s="116"/>
      <c r="QEE136" s="116"/>
      <c r="QEF136" s="116"/>
      <c r="QEG136" s="116"/>
      <c r="QEH136" s="116"/>
      <c r="QEI136" s="118"/>
      <c r="QEJ136" s="118"/>
      <c r="QEK136" s="118"/>
      <c r="QEL136" s="118"/>
      <c r="QEM136" s="118"/>
      <c r="QEN136" s="118"/>
      <c r="QEO136" s="118"/>
      <c r="QEP136" s="118"/>
      <c r="QEQ136" s="118"/>
      <c r="QER136" s="118"/>
      <c r="QES136" s="118"/>
      <c r="QET136" s="118"/>
      <c r="QEU136" s="118"/>
      <c r="QEV136" s="118"/>
      <c r="QEW136" s="118"/>
      <c r="QFB136" s="118"/>
      <c r="QFC136" s="118"/>
      <c r="QFD136" s="118"/>
      <c r="QFE136" s="118"/>
      <c r="QFF136" s="118"/>
      <c r="QFG136" s="118"/>
      <c r="QFH136" s="118"/>
      <c r="QFI136" s="118"/>
      <c r="QFJ136" s="118"/>
      <c r="QFK136" s="118"/>
      <c r="QFW136" s="82"/>
      <c r="QFZ136" s="69"/>
      <c r="QGD136" s="116"/>
      <c r="QGE136" s="116"/>
      <c r="QGF136" s="116"/>
      <c r="QGG136" s="116"/>
      <c r="QGH136" s="116"/>
      <c r="QGI136" s="116"/>
      <c r="QGJ136" s="116"/>
      <c r="QGK136" s="116"/>
      <c r="QGL136" s="116"/>
      <c r="QGM136" s="116"/>
      <c r="QGN136" s="116"/>
      <c r="QGO136" s="116"/>
      <c r="QGP136" s="116"/>
      <c r="QGQ136" s="116"/>
      <c r="QGR136" s="118"/>
      <c r="QGS136" s="118"/>
      <c r="QGT136" s="118"/>
      <c r="QGU136" s="118"/>
      <c r="QGV136" s="118"/>
      <c r="QGW136" s="118"/>
      <c r="QGX136" s="118"/>
      <c r="QGY136" s="118"/>
      <c r="QGZ136" s="118"/>
      <c r="QHA136" s="118"/>
      <c r="QHB136" s="118"/>
      <c r="QHC136" s="118"/>
      <c r="QHD136" s="118"/>
      <c r="QHE136" s="118"/>
      <c r="QHF136" s="118"/>
      <c r="QHK136" s="118"/>
      <c r="QHL136" s="118"/>
      <c r="QHM136" s="118"/>
      <c r="QHN136" s="118"/>
      <c r="QHO136" s="118"/>
      <c r="QHP136" s="118"/>
      <c r="QHQ136" s="118"/>
      <c r="QHR136" s="118"/>
      <c r="QHS136" s="118"/>
      <c r="QHT136" s="118"/>
      <c r="QIF136" s="82"/>
      <c r="QII136" s="69"/>
      <c r="QIM136" s="116"/>
      <c r="QIN136" s="116"/>
      <c r="QIO136" s="116"/>
      <c r="QIP136" s="116"/>
      <c r="QIQ136" s="116"/>
      <c r="QIR136" s="116"/>
      <c r="QIS136" s="116"/>
      <c r="QIT136" s="116"/>
      <c r="QIU136" s="116"/>
      <c r="QIV136" s="116"/>
      <c r="QIW136" s="116"/>
      <c r="QIX136" s="116"/>
      <c r="QIY136" s="116"/>
      <c r="QIZ136" s="116"/>
      <c r="QJA136" s="118"/>
      <c r="QJB136" s="118"/>
      <c r="QJC136" s="118"/>
      <c r="QJD136" s="118"/>
      <c r="QJE136" s="118"/>
      <c r="QJF136" s="118"/>
      <c r="QJG136" s="118"/>
      <c r="QJH136" s="118"/>
      <c r="QJI136" s="118"/>
      <c r="QJJ136" s="118"/>
      <c r="QJK136" s="118"/>
      <c r="QJL136" s="118"/>
      <c r="QJM136" s="118"/>
      <c r="QJN136" s="118"/>
      <c r="QJO136" s="118"/>
      <c r="QJT136" s="118"/>
      <c r="QJU136" s="118"/>
      <c r="QJV136" s="118"/>
      <c r="QJW136" s="118"/>
      <c r="QJX136" s="118"/>
      <c r="QJY136" s="118"/>
      <c r="QJZ136" s="118"/>
      <c r="QKA136" s="118"/>
      <c r="QKB136" s="118"/>
      <c r="QKC136" s="118"/>
      <c r="QKO136" s="82"/>
      <c r="QKR136" s="69"/>
      <c r="QKV136" s="116"/>
      <c r="QKW136" s="116"/>
      <c r="QKX136" s="116"/>
      <c r="QKY136" s="116"/>
      <c r="QKZ136" s="116"/>
      <c r="QLA136" s="116"/>
      <c r="QLB136" s="116"/>
      <c r="QLC136" s="116"/>
      <c r="QLD136" s="116"/>
      <c r="QLE136" s="116"/>
      <c r="QLF136" s="116"/>
      <c r="QLG136" s="116"/>
      <c r="QLH136" s="116"/>
      <c r="QLI136" s="116"/>
      <c r="QLJ136" s="118"/>
      <c r="QLK136" s="118"/>
      <c r="QLL136" s="118"/>
      <c r="QLM136" s="118"/>
      <c r="QLN136" s="118"/>
      <c r="QLO136" s="118"/>
      <c r="QLP136" s="118"/>
      <c r="QLQ136" s="118"/>
      <c r="QLR136" s="118"/>
      <c r="QLS136" s="118"/>
      <c r="QLT136" s="118"/>
      <c r="QLU136" s="118"/>
      <c r="QLV136" s="118"/>
      <c r="QLW136" s="118"/>
      <c r="QLX136" s="118"/>
      <c r="QMC136" s="118"/>
      <c r="QMD136" s="118"/>
      <c r="QME136" s="118"/>
      <c r="QMF136" s="118"/>
      <c r="QMG136" s="118"/>
      <c r="QMH136" s="118"/>
      <c r="QMI136" s="118"/>
      <c r="QMJ136" s="118"/>
      <c r="QMK136" s="118"/>
      <c r="QML136" s="118"/>
      <c r="QMX136" s="82"/>
      <c r="QNA136" s="69"/>
      <c r="QNE136" s="116"/>
      <c r="QNF136" s="116"/>
      <c r="QNG136" s="116"/>
      <c r="QNH136" s="116"/>
      <c r="QNI136" s="116"/>
      <c r="QNJ136" s="116"/>
      <c r="QNK136" s="116"/>
      <c r="QNL136" s="116"/>
      <c r="QNM136" s="116"/>
      <c r="QNN136" s="116"/>
      <c r="QNO136" s="116"/>
      <c r="QNP136" s="116"/>
      <c r="QNQ136" s="116"/>
      <c r="QNR136" s="116"/>
      <c r="QNS136" s="118"/>
      <c r="QNT136" s="118"/>
      <c r="QNU136" s="118"/>
      <c r="QNV136" s="118"/>
      <c r="QNW136" s="118"/>
      <c r="QNX136" s="118"/>
      <c r="QNY136" s="118"/>
      <c r="QNZ136" s="118"/>
      <c r="QOA136" s="118"/>
      <c r="QOB136" s="118"/>
      <c r="QOC136" s="118"/>
      <c r="QOD136" s="118"/>
      <c r="QOE136" s="118"/>
      <c r="QOF136" s="118"/>
      <c r="QOG136" s="118"/>
      <c r="QOL136" s="118"/>
      <c r="QOM136" s="118"/>
      <c r="QON136" s="118"/>
      <c r="QOO136" s="118"/>
      <c r="QOP136" s="118"/>
      <c r="QOQ136" s="118"/>
      <c r="QOR136" s="118"/>
      <c r="QOS136" s="118"/>
      <c r="QOT136" s="118"/>
      <c r="QOU136" s="118"/>
      <c r="QPG136" s="82"/>
      <c r="QPJ136" s="69"/>
      <c r="QPN136" s="116"/>
      <c r="QPO136" s="116"/>
      <c r="QPP136" s="116"/>
      <c r="QPQ136" s="116"/>
      <c r="QPR136" s="116"/>
      <c r="QPS136" s="116"/>
      <c r="QPT136" s="116"/>
      <c r="QPU136" s="116"/>
      <c r="QPV136" s="116"/>
      <c r="QPW136" s="116"/>
      <c r="QPX136" s="116"/>
      <c r="QPY136" s="116"/>
      <c r="QPZ136" s="116"/>
      <c r="QQA136" s="116"/>
      <c r="QQB136" s="118"/>
      <c r="QQC136" s="118"/>
      <c r="QQD136" s="118"/>
      <c r="QQE136" s="118"/>
      <c r="QQF136" s="118"/>
      <c r="QQG136" s="118"/>
      <c r="QQH136" s="118"/>
      <c r="QQI136" s="118"/>
      <c r="QQJ136" s="118"/>
      <c r="QQK136" s="118"/>
      <c r="QQL136" s="118"/>
      <c r="QQM136" s="118"/>
      <c r="QQN136" s="118"/>
      <c r="QQO136" s="118"/>
      <c r="QQP136" s="118"/>
      <c r="QQU136" s="118"/>
      <c r="QQV136" s="118"/>
      <c r="QQW136" s="118"/>
      <c r="QQX136" s="118"/>
      <c r="QQY136" s="118"/>
      <c r="QQZ136" s="118"/>
      <c r="QRA136" s="118"/>
      <c r="QRB136" s="118"/>
      <c r="QRC136" s="118"/>
      <c r="QRD136" s="118"/>
      <c r="QRP136" s="82"/>
      <c r="QRS136" s="69"/>
      <c r="QRW136" s="116"/>
      <c r="QRX136" s="116"/>
      <c r="QRY136" s="116"/>
      <c r="QRZ136" s="116"/>
      <c r="QSA136" s="116"/>
      <c r="QSB136" s="116"/>
      <c r="QSC136" s="116"/>
      <c r="QSD136" s="116"/>
      <c r="QSE136" s="116"/>
      <c r="QSF136" s="116"/>
      <c r="QSG136" s="116"/>
      <c r="QSH136" s="116"/>
      <c r="QSI136" s="116"/>
      <c r="QSJ136" s="116"/>
      <c r="QSK136" s="118"/>
      <c r="QSL136" s="118"/>
      <c r="QSM136" s="118"/>
      <c r="QSN136" s="118"/>
      <c r="QSO136" s="118"/>
      <c r="QSP136" s="118"/>
      <c r="QSQ136" s="118"/>
      <c r="QSR136" s="118"/>
      <c r="QSS136" s="118"/>
      <c r="QST136" s="118"/>
      <c r="QSU136" s="118"/>
      <c r="QSV136" s="118"/>
      <c r="QSW136" s="118"/>
      <c r="QSX136" s="118"/>
      <c r="QSY136" s="118"/>
      <c r="QTD136" s="118"/>
      <c r="QTE136" s="118"/>
      <c r="QTF136" s="118"/>
      <c r="QTG136" s="118"/>
      <c r="QTH136" s="118"/>
      <c r="QTI136" s="118"/>
      <c r="QTJ136" s="118"/>
      <c r="QTK136" s="118"/>
      <c r="QTL136" s="118"/>
      <c r="QTM136" s="118"/>
      <c r="QTY136" s="82"/>
      <c r="QUB136" s="69"/>
      <c r="QUF136" s="116"/>
      <c r="QUG136" s="116"/>
      <c r="QUH136" s="116"/>
      <c r="QUI136" s="116"/>
      <c r="QUJ136" s="116"/>
      <c r="QUK136" s="116"/>
      <c r="QUL136" s="116"/>
      <c r="QUM136" s="116"/>
      <c r="QUN136" s="116"/>
      <c r="QUO136" s="116"/>
      <c r="QUP136" s="116"/>
      <c r="QUQ136" s="116"/>
      <c r="QUR136" s="116"/>
      <c r="QUS136" s="116"/>
      <c r="QUT136" s="118"/>
      <c r="QUU136" s="118"/>
      <c r="QUV136" s="118"/>
      <c r="QUW136" s="118"/>
      <c r="QUX136" s="118"/>
      <c r="QUY136" s="118"/>
      <c r="QUZ136" s="118"/>
      <c r="QVA136" s="118"/>
      <c r="QVB136" s="118"/>
      <c r="QVC136" s="118"/>
      <c r="QVD136" s="118"/>
      <c r="QVE136" s="118"/>
      <c r="QVF136" s="118"/>
      <c r="QVG136" s="118"/>
      <c r="QVH136" s="118"/>
      <c r="QVM136" s="118"/>
      <c r="QVN136" s="118"/>
      <c r="QVO136" s="118"/>
      <c r="QVP136" s="118"/>
      <c r="QVQ136" s="118"/>
      <c r="QVR136" s="118"/>
      <c r="QVS136" s="118"/>
      <c r="QVT136" s="118"/>
      <c r="QVU136" s="118"/>
      <c r="QVV136" s="118"/>
      <c r="QWH136" s="82"/>
      <c r="QWK136" s="69"/>
      <c r="QWO136" s="116"/>
      <c r="QWP136" s="116"/>
      <c r="QWQ136" s="116"/>
      <c r="QWR136" s="116"/>
      <c r="QWS136" s="116"/>
      <c r="QWT136" s="116"/>
      <c r="QWU136" s="116"/>
      <c r="QWV136" s="116"/>
      <c r="QWW136" s="116"/>
      <c r="QWX136" s="116"/>
      <c r="QWY136" s="116"/>
      <c r="QWZ136" s="116"/>
      <c r="QXA136" s="116"/>
      <c r="QXB136" s="116"/>
      <c r="QXC136" s="118"/>
      <c r="QXD136" s="118"/>
      <c r="QXE136" s="118"/>
      <c r="QXF136" s="118"/>
      <c r="QXG136" s="118"/>
      <c r="QXH136" s="118"/>
      <c r="QXI136" s="118"/>
      <c r="QXJ136" s="118"/>
      <c r="QXK136" s="118"/>
      <c r="QXL136" s="118"/>
      <c r="QXM136" s="118"/>
      <c r="QXN136" s="118"/>
      <c r="QXO136" s="118"/>
      <c r="QXP136" s="118"/>
      <c r="QXQ136" s="118"/>
      <c r="QXV136" s="118"/>
      <c r="QXW136" s="118"/>
      <c r="QXX136" s="118"/>
      <c r="QXY136" s="118"/>
      <c r="QXZ136" s="118"/>
      <c r="QYA136" s="118"/>
      <c r="QYB136" s="118"/>
      <c r="QYC136" s="118"/>
      <c r="QYD136" s="118"/>
      <c r="QYE136" s="118"/>
      <c r="QYQ136" s="82"/>
      <c r="QYT136" s="69"/>
      <c r="QYX136" s="116"/>
      <c r="QYY136" s="116"/>
      <c r="QYZ136" s="116"/>
      <c r="QZA136" s="116"/>
      <c r="QZB136" s="116"/>
      <c r="QZC136" s="116"/>
      <c r="QZD136" s="116"/>
      <c r="QZE136" s="116"/>
      <c r="QZF136" s="116"/>
      <c r="QZG136" s="116"/>
      <c r="QZH136" s="116"/>
      <c r="QZI136" s="116"/>
      <c r="QZJ136" s="116"/>
      <c r="QZK136" s="116"/>
      <c r="QZL136" s="118"/>
      <c r="QZM136" s="118"/>
      <c r="QZN136" s="118"/>
      <c r="QZO136" s="118"/>
      <c r="QZP136" s="118"/>
      <c r="QZQ136" s="118"/>
      <c r="QZR136" s="118"/>
      <c r="QZS136" s="118"/>
      <c r="QZT136" s="118"/>
      <c r="QZU136" s="118"/>
      <c r="QZV136" s="118"/>
      <c r="QZW136" s="118"/>
      <c r="QZX136" s="118"/>
      <c r="QZY136" s="118"/>
      <c r="QZZ136" s="118"/>
      <c r="RAE136" s="118"/>
      <c r="RAF136" s="118"/>
      <c r="RAG136" s="118"/>
      <c r="RAH136" s="118"/>
      <c r="RAI136" s="118"/>
      <c r="RAJ136" s="118"/>
      <c r="RAK136" s="118"/>
      <c r="RAL136" s="118"/>
      <c r="RAM136" s="118"/>
      <c r="RAN136" s="118"/>
      <c r="RAZ136" s="82"/>
      <c r="RBC136" s="69"/>
      <c r="RBG136" s="116"/>
      <c r="RBH136" s="116"/>
      <c r="RBI136" s="116"/>
      <c r="RBJ136" s="116"/>
      <c r="RBK136" s="116"/>
      <c r="RBL136" s="116"/>
      <c r="RBM136" s="116"/>
      <c r="RBN136" s="116"/>
      <c r="RBO136" s="116"/>
      <c r="RBP136" s="116"/>
      <c r="RBQ136" s="116"/>
      <c r="RBR136" s="116"/>
      <c r="RBS136" s="116"/>
      <c r="RBT136" s="116"/>
      <c r="RBU136" s="118"/>
      <c r="RBV136" s="118"/>
      <c r="RBW136" s="118"/>
      <c r="RBX136" s="118"/>
      <c r="RBY136" s="118"/>
      <c r="RBZ136" s="118"/>
      <c r="RCA136" s="118"/>
      <c r="RCB136" s="118"/>
      <c r="RCC136" s="118"/>
      <c r="RCD136" s="118"/>
      <c r="RCE136" s="118"/>
      <c r="RCF136" s="118"/>
      <c r="RCG136" s="118"/>
      <c r="RCH136" s="118"/>
      <c r="RCI136" s="118"/>
      <c r="RCN136" s="118"/>
      <c r="RCO136" s="118"/>
      <c r="RCP136" s="118"/>
      <c r="RCQ136" s="118"/>
      <c r="RCR136" s="118"/>
      <c r="RCS136" s="118"/>
      <c r="RCT136" s="118"/>
      <c r="RCU136" s="118"/>
      <c r="RCV136" s="118"/>
      <c r="RCW136" s="118"/>
      <c r="RDI136" s="82"/>
      <c r="RDL136" s="69"/>
      <c r="RDP136" s="116"/>
      <c r="RDQ136" s="116"/>
      <c r="RDR136" s="116"/>
      <c r="RDS136" s="116"/>
      <c r="RDT136" s="116"/>
      <c r="RDU136" s="116"/>
      <c r="RDV136" s="116"/>
      <c r="RDW136" s="116"/>
      <c r="RDX136" s="116"/>
      <c r="RDY136" s="116"/>
      <c r="RDZ136" s="116"/>
      <c r="REA136" s="116"/>
      <c r="REB136" s="116"/>
      <c r="REC136" s="116"/>
      <c r="RED136" s="118"/>
      <c r="REE136" s="118"/>
      <c r="REF136" s="118"/>
      <c r="REG136" s="118"/>
      <c r="REH136" s="118"/>
      <c r="REI136" s="118"/>
      <c r="REJ136" s="118"/>
      <c r="REK136" s="118"/>
      <c r="REL136" s="118"/>
      <c r="REM136" s="118"/>
      <c r="REN136" s="118"/>
      <c r="REO136" s="118"/>
      <c r="REP136" s="118"/>
      <c r="REQ136" s="118"/>
      <c r="RER136" s="118"/>
      <c r="REW136" s="118"/>
      <c r="REX136" s="118"/>
      <c r="REY136" s="118"/>
      <c r="REZ136" s="118"/>
      <c r="RFA136" s="118"/>
      <c r="RFB136" s="118"/>
      <c r="RFC136" s="118"/>
      <c r="RFD136" s="118"/>
      <c r="RFE136" s="118"/>
      <c r="RFF136" s="118"/>
      <c r="RFR136" s="82"/>
      <c r="RFU136" s="69"/>
      <c r="RFY136" s="116"/>
      <c r="RFZ136" s="116"/>
      <c r="RGA136" s="116"/>
      <c r="RGB136" s="116"/>
      <c r="RGC136" s="116"/>
      <c r="RGD136" s="116"/>
      <c r="RGE136" s="116"/>
      <c r="RGF136" s="116"/>
      <c r="RGG136" s="116"/>
      <c r="RGH136" s="116"/>
      <c r="RGI136" s="116"/>
      <c r="RGJ136" s="116"/>
      <c r="RGK136" s="116"/>
      <c r="RGL136" s="116"/>
      <c r="RGM136" s="118"/>
      <c r="RGN136" s="118"/>
      <c r="RGO136" s="118"/>
      <c r="RGP136" s="118"/>
      <c r="RGQ136" s="118"/>
      <c r="RGR136" s="118"/>
      <c r="RGS136" s="118"/>
      <c r="RGT136" s="118"/>
      <c r="RGU136" s="118"/>
      <c r="RGV136" s="118"/>
      <c r="RGW136" s="118"/>
      <c r="RGX136" s="118"/>
      <c r="RGY136" s="118"/>
      <c r="RGZ136" s="118"/>
      <c r="RHA136" s="118"/>
      <c r="RHF136" s="118"/>
      <c r="RHG136" s="118"/>
      <c r="RHH136" s="118"/>
      <c r="RHI136" s="118"/>
      <c r="RHJ136" s="118"/>
      <c r="RHK136" s="118"/>
      <c r="RHL136" s="118"/>
      <c r="RHM136" s="118"/>
      <c r="RHN136" s="118"/>
      <c r="RHO136" s="118"/>
      <c r="RIA136" s="82"/>
      <c r="RID136" s="69"/>
      <c r="RIH136" s="116"/>
      <c r="RII136" s="116"/>
      <c r="RIJ136" s="116"/>
      <c r="RIK136" s="116"/>
      <c r="RIL136" s="116"/>
      <c r="RIM136" s="116"/>
      <c r="RIN136" s="116"/>
      <c r="RIO136" s="116"/>
      <c r="RIP136" s="116"/>
      <c r="RIQ136" s="116"/>
      <c r="RIR136" s="116"/>
      <c r="RIS136" s="116"/>
      <c r="RIT136" s="116"/>
      <c r="RIU136" s="116"/>
      <c r="RIV136" s="118"/>
      <c r="RIW136" s="118"/>
      <c r="RIX136" s="118"/>
      <c r="RIY136" s="118"/>
      <c r="RIZ136" s="118"/>
      <c r="RJA136" s="118"/>
      <c r="RJB136" s="118"/>
      <c r="RJC136" s="118"/>
      <c r="RJD136" s="118"/>
      <c r="RJE136" s="118"/>
      <c r="RJF136" s="118"/>
      <c r="RJG136" s="118"/>
      <c r="RJH136" s="118"/>
      <c r="RJI136" s="118"/>
      <c r="RJJ136" s="118"/>
      <c r="RJO136" s="118"/>
      <c r="RJP136" s="118"/>
      <c r="RJQ136" s="118"/>
      <c r="RJR136" s="118"/>
      <c r="RJS136" s="118"/>
      <c r="RJT136" s="118"/>
      <c r="RJU136" s="118"/>
      <c r="RJV136" s="118"/>
      <c r="RJW136" s="118"/>
      <c r="RJX136" s="118"/>
      <c r="RKJ136" s="82"/>
      <c r="RKM136" s="69"/>
      <c r="RKQ136" s="116"/>
      <c r="RKR136" s="116"/>
      <c r="RKS136" s="116"/>
      <c r="RKT136" s="116"/>
      <c r="RKU136" s="116"/>
      <c r="RKV136" s="116"/>
      <c r="RKW136" s="116"/>
      <c r="RKX136" s="116"/>
      <c r="RKY136" s="116"/>
      <c r="RKZ136" s="116"/>
      <c r="RLA136" s="116"/>
      <c r="RLB136" s="116"/>
      <c r="RLC136" s="116"/>
      <c r="RLD136" s="116"/>
      <c r="RLE136" s="118"/>
      <c r="RLF136" s="118"/>
      <c r="RLG136" s="118"/>
      <c r="RLH136" s="118"/>
      <c r="RLI136" s="118"/>
      <c r="RLJ136" s="118"/>
      <c r="RLK136" s="118"/>
      <c r="RLL136" s="118"/>
      <c r="RLM136" s="118"/>
      <c r="RLN136" s="118"/>
      <c r="RLO136" s="118"/>
      <c r="RLP136" s="118"/>
      <c r="RLQ136" s="118"/>
      <c r="RLR136" s="118"/>
      <c r="RLS136" s="118"/>
      <c r="RLX136" s="118"/>
      <c r="RLY136" s="118"/>
      <c r="RLZ136" s="118"/>
      <c r="RMA136" s="118"/>
      <c r="RMB136" s="118"/>
      <c r="RMC136" s="118"/>
      <c r="RMD136" s="118"/>
      <c r="RME136" s="118"/>
      <c r="RMF136" s="118"/>
      <c r="RMG136" s="118"/>
      <c r="RMS136" s="82"/>
      <c r="RMV136" s="69"/>
      <c r="RMZ136" s="116"/>
      <c r="RNA136" s="116"/>
      <c r="RNB136" s="116"/>
      <c r="RNC136" s="116"/>
      <c r="RND136" s="116"/>
      <c r="RNE136" s="116"/>
      <c r="RNF136" s="116"/>
      <c r="RNG136" s="116"/>
      <c r="RNH136" s="116"/>
      <c r="RNI136" s="116"/>
      <c r="RNJ136" s="116"/>
      <c r="RNK136" s="116"/>
      <c r="RNL136" s="116"/>
      <c r="RNM136" s="116"/>
      <c r="RNN136" s="118"/>
      <c r="RNO136" s="118"/>
      <c r="RNP136" s="118"/>
      <c r="RNQ136" s="118"/>
      <c r="RNR136" s="118"/>
      <c r="RNS136" s="118"/>
      <c r="RNT136" s="118"/>
      <c r="RNU136" s="118"/>
      <c r="RNV136" s="118"/>
      <c r="RNW136" s="118"/>
      <c r="RNX136" s="118"/>
      <c r="RNY136" s="118"/>
      <c r="RNZ136" s="118"/>
      <c r="ROA136" s="118"/>
      <c r="ROB136" s="118"/>
      <c r="ROG136" s="118"/>
      <c r="ROH136" s="118"/>
      <c r="ROI136" s="118"/>
      <c r="ROJ136" s="118"/>
      <c r="ROK136" s="118"/>
      <c r="ROL136" s="118"/>
      <c r="ROM136" s="118"/>
      <c r="RON136" s="118"/>
      <c r="ROO136" s="118"/>
      <c r="ROP136" s="118"/>
      <c r="RPB136" s="82"/>
      <c r="RPE136" s="69"/>
      <c r="RPI136" s="116"/>
      <c r="RPJ136" s="116"/>
      <c r="RPK136" s="116"/>
      <c r="RPL136" s="116"/>
      <c r="RPM136" s="116"/>
      <c r="RPN136" s="116"/>
      <c r="RPO136" s="116"/>
      <c r="RPP136" s="116"/>
      <c r="RPQ136" s="116"/>
      <c r="RPR136" s="116"/>
      <c r="RPS136" s="116"/>
      <c r="RPT136" s="116"/>
      <c r="RPU136" s="116"/>
      <c r="RPV136" s="116"/>
      <c r="RPW136" s="118"/>
      <c r="RPX136" s="118"/>
      <c r="RPY136" s="118"/>
      <c r="RPZ136" s="118"/>
      <c r="RQA136" s="118"/>
      <c r="RQB136" s="118"/>
      <c r="RQC136" s="118"/>
      <c r="RQD136" s="118"/>
      <c r="RQE136" s="118"/>
      <c r="RQF136" s="118"/>
      <c r="RQG136" s="118"/>
      <c r="RQH136" s="118"/>
      <c r="RQI136" s="118"/>
      <c r="RQJ136" s="118"/>
      <c r="RQK136" s="118"/>
      <c r="RQP136" s="118"/>
      <c r="RQQ136" s="118"/>
      <c r="RQR136" s="118"/>
      <c r="RQS136" s="118"/>
      <c r="RQT136" s="118"/>
      <c r="RQU136" s="118"/>
      <c r="RQV136" s="118"/>
      <c r="RQW136" s="118"/>
      <c r="RQX136" s="118"/>
      <c r="RQY136" s="118"/>
      <c r="RRK136" s="82"/>
      <c r="RRN136" s="69"/>
      <c r="RRR136" s="116"/>
      <c r="RRS136" s="116"/>
      <c r="RRT136" s="116"/>
      <c r="RRU136" s="116"/>
      <c r="RRV136" s="116"/>
      <c r="RRW136" s="116"/>
      <c r="RRX136" s="116"/>
      <c r="RRY136" s="116"/>
      <c r="RRZ136" s="116"/>
      <c r="RSA136" s="116"/>
      <c r="RSB136" s="116"/>
      <c r="RSC136" s="116"/>
      <c r="RSD136" s="116"/>
      <c r="RSE136" s="116"/>
      <c r="RSF136" s="118"/>
      <c r="RSG136" s="118"/>
      <c r="RSH136" s="118"/>
      <c r="RSI136" s="118"/>
      <c r="RSJ136" s="118"/>
      <c r="RSK136" s="118"/>
      <c r="RSL136" s="118"/>
      <c r="RSM136" s="118"/>
      <c r="RSN136" s="118"/>
      <c r="RSO136" s="118"/>
      <c r="RSP136" s="118"/>
      <c r="RSQ136" s="118"/>
      <c r="RSR136" s="118"/>
      <c r="RSS136" s="118"/>
      <c r="RST136" s="118"/>
      <c r="RSY136" s="118"/>
      <c r="RSZ136" s="118"/>
      <c r="RTA136" s="118"/>
      <c r="RTB136" s="118"/>
      <c r="RTC136" s="118"/>
      <c r="RTD136" s="118"/>
      <c r="RTE136" s="118"/>
      <c r="RTF136" s="118"/>
      <c r="RTG136" s="118"/>
      <c r="RTH136" s="118"/>
      <c r="RTT136" s="82"/>
      <c r="RTW136" s="69"/>
      <c r="RUA136" s="116"/>
      <c r="RUB136" s="116"/>
      <c r="RUC136" s="116"/>
      <c r="RUD136" s="116"/>
      <c r="RUE136" s="116"/>
      <c r="RUF136" s="116"/>
      <c r="RUG136" s="116"/>
      <c r="RUH136" s="116"/>
      <c r="RUI136" s="116"/>
      <c r="RUJ136" s="116"/>
      <c r="RUK136" s="116"/>
      <c r="RUL136" s="116"/>
      <c r="RUM136" s="116"/>
      <c r="RUN136" s="116"/>
      <c r="RUO136" s="118"/>
      <c r="RUP136" s="118"/>
      <c r="RUQ136" s="118"/>
      <c r="RUR136" s="118"/>
      <c r="RUS136" s="118"/>
      <c r="RUT136" s="118"/>
      <c r="RUU136" s="118"/>
      <c r="RUV136" s="118"/>
      <c r="RUW136" s="118"/>
      <c r="RUX136" s="118"/>
      <c r="RUY136" s="118"/>
      <c r="RUZ136" s="118"/>
      <c r="RVA136" s="118"/>
      <c r="RVB136" s="118"/>
      <c r="RVC136" s="118"/>
      <c r="RVH136" s="118"/>
      <c r="RVI136" s="118"/>
      <c r="RVJ136" s="118"/>
      <c r="RVK136" s="118"/>
      <c r="RVL136" s="118"/>
      <c r="RVM136" s="118"/>
      <c r="RVN136" s="118"/>
      <c r="RVO136" s="118"/>
      <c r="RVP136" s="118"/>
      <c r="RVQ136" s="118"/>
      <c r="RWC136" s="82"/>
      <c r="RWF136" s="69"/>
      <c r="RWJ136" s="116"/>
      <c r="RWK136" s="116"/>
      <c r="RWL136" s="116"/>
      <c r="RWM136" s="116"/>
      <c r="RWN136" s="116"/>
      <c r="RWO136" s="116"/>
      <c r="RWP136" s="116"/>
      <c r="RWQ136" s="116"/>
      <c r="RWR136" s="116"/>
      <c r="RWS136" s="116"/>
      <c r="RWT136" s="116"/>
      <c r="RWU136" s="116"/>
      <c r="RWV136" s="116"/>
      <c r="RWW136" s="116"/>
      <c r="RWX136" s="118"/>
      <c r="RWY136" s="118"/>
      <c r="RWZ136" s="118"/>
      <c r="RXA136" s="118"/>
      <c r="RXB136" s="118"/>
      <c r="RXC136" s="118"/>
      <c r="RXD136" s="118"/>
      <c r="RXE136" s="118"/>
      <c r="RXF136" s="118"/>
      <c r="RXG136" s="118"/>
      <c r="RXH136" s="118"/>
      <c r="RXI136" s="118"/>
      <c r="RXJ136" s="118"/>
      <c r="RXK136" s="118"/>
      <c r="RXL136" s="118"/>
      <c r="RXQ136" s="118"/>
      <c r="RXR136" s="118"/>
      <c r="RXS136" s="118"/>
      <c r="RXT136" s="118"/>
      <c r="RXU136" s="118"/>
      <c r="RXV136" s="118"/>
      <c r="RXW136" s="118"/>
      <c r="RXX136" s="118"/>
      <c r="RXY136" s="118"/>
      <c r="RXZ136" s="118"/>
      <c r="RYL136" s="82"/>
      <c r="RYO136" s="69"/>
      <c r="RYS136" s="116"/>
      <c r="RYT136" s="116"/>
      <c r="RYU136" s="116"/>
      <c r="RYV136" s="116"/>
      <c r="RYW136" s="116"/>
      <c r="RYX136" s="116"/>
      <c r="RYY136" s="116"/>
      <c r="RYZ136" s="116"/>
      <c r="RZA136" s="116"/>
      <c r="RZB136" s="116"/>
      <c r="RZC136" s="116"/>
      <c r="RZD136" s="116"/>
      <c r="RZE136" s="116"/>
      <c r="RZF136" s="116"/>
      <c r="RZG136" s="118"/>
      <c r="RZH136" s="118"/>
      <c r="RZI136" s="118"/>
      <c r="RZJ136" s="118"/>
      <c r="RZK136" s="118"/>
      <c r="RZL136" s="118"/>
      <c r="RZM136" s="118"/>
      <c r="RZN136" s="118"/>
      <c r="RZO136" s="118"/>
      <c r="RZP136" s="118"/>
      <c r="RZQ136" s="118"/>
      <c r="RZR136" s="118"/>
      <c r="RZS136" s="118"/>
      <c r="RZT136" s="118"/>
      <c r="RZU136" s="118"/>
      <c r="RZZ136" s="118"/>
      <c r="SAA136" s="118"/>
      <c r="SAB136" s="118"/>
      <c r="SAC136" s="118"/>
      <c r="SAD136" s="118"/>
      <c r="SAE136" s="118"/>
      <c r="SAF136" s="118"/>
      <c r="SAG136" s="118"/>
      <c r="SAH136" s="118"/>
      <c r="SAI136" s="118"/>
      <c r="SAU136" s="82"/>
      <c r="SAX136" s="69"/>
      <c r="SBB136" s="116"/>
      <c r="SBC136" s="116"/>
      <c r="SBD136" s="116"/>
      <c r="SBE136" s="116"/>
      <c r="SBF136" s="116"/>
      <c r="SBG136" s="116"/>
      <c r="SBH136" s="116"/>
      <c r="SBI136" s="116"/>
      <c r="SBJ136" s="116"/>
      <c r="SBK136" s="116"/>
      <c r="SBL136" s="116"/>
      <c r="SBM136" s="116"/>
      <c r="SBN136" s="116"/>
      <c r="SBO136" s="116"/>
      <c r="SBP136" s="118"/>
      <c r="SBQ136" s="118"/>
      <c r="SBR136" s="118"/>
      <c r="SBS136" s="118"/>
      <c r="SBT136" s="118"/>
      <c r="SBU136" s="118"/>
      <c r="SBV136" s="118"/>
      <c r="SBW136" s="118"/>
      <c r="SBX136" s="118"/>
      <c r="SBY136" s="118"/>
      <c r="SBZ136" s="118"/>
      <c r="SCA136" s="118"/>
      <c r="SCB136" s="118"/>
      <c r="SCC136" s="118"/>
      <c r="SCD136" s="118"/>
      <c r="SCI136" s="118"/>
      <c r="SCJ136" s="118"/>
      <c r="SCK136" s="118"/>
      <c r="SCL136" s="118"/>
      <c r="SCM136" s="118"/>
      <c r="SCN136" s="118"/>
      <c r="SCO136" s="118"/>
      <c r="SCP136" s="118"/>
      <c r="SCQ136" s="118"/>
      <c r="SCR136" s="118"/>
      <c r="SDD136" s="82"/>
      <c r="SDG136" s="69"/>
      <c r="SDK136" s="116"/>
      <c r="SDL136" s="116"/>
      <c r="SDM136" s="116"/>
      <c r="SDN136" s="116"/>
      <c r="SDO136" s="116"/>
      <c r="SDP136" s="116"/>
      <c r="SDQ136" s="116"/>
      <c r="SDR136" s="116"/>
      <c r="SDS136" s="116"/>
      <c r="SDT136" s="116"/>
      <c r="SDU136" s="116"/>
      <c r="SDV136" s="116"/>
      <c r="SDW136" s="116"/>
      <c r="SDX136" s="116"/>
      <c r="SDY136" s="118"/>
      <c r="SDZ136" s="118"/>
      <c r="SEA136" s="118"/>
      <c r="SEB136" s="118"/>
      <c r="SEC136" s="118"/>
      <c r="SED136" s="118"/>
      <c r="SEE136" s="118"/>
      <c r="SEF136" s="118"/>
      <c r="SEG136" s="118"/>
      <c r="SEH136" s="118"/>
      <c r="SEI136" s="118"/>
      <c r="SEJ136" s="118"/>
      <c r="SEK136" s="118"/>
      <c r="SEL136" s="118"/>
      <c r="SEM136" s="118"/>
      <c r="SER136" s="118"/>
      <c r="SES136" s="118"/>
      <c r="SET136" s="118"/>
      <c r="SEU136" s="118"/>
      <c r="SEV136" s="118"/>
      <c r="SEW136" s="118"/>
      <c r="SEX136" s="118"/>
      <c r="SEY136" s="118"/>
      <c r="SEZ136" s="118"/>
      <c r="SFA136" s="118"/>
      <c r="SFM136" s="82"/>
      <c r="SFP136" s="69"/>
      <c r="SFT136" s="116"/>
      <c r="SFU136" s="116"/>
      <c r="SFV136" s="116"/>
      <c r="SFW136" s="116"/>
      <c r="SFX136" s="116"/>
      <c r="SFY136" s="116"/>
      <c r="SFZ136" s="116"/>
      <c r="SGA136" s="116"/>
      <c r="SGB136" s="116"/>
      <c r="SGC136" s="116"/>
      <c r="SGD136" s="116"/>
      <c r="SGE136" s="116"/>
      <c r="SGF136" s="116"/>
      <c r="SGG136" s="116"/>
      <c r="SGH136" s="118"/>
      <c r="SGI136" s="118"/>
      <c r="SGJ136" s="118"/>
      <c r="SGK136" s="118"/>
      <c r="SGL136" s="118"/>
      <c r="SGM136" s="118"/>
      <c r="SGN136" s="118"/>
      <c r="SGO136" s="118"/>
      <c r="SGP136" s="118"/>
      <c r="SGQ136" s="118"/>
      <c r="SGR136" s="118"/>
      <c r="SGS136" s="118"/>
      <c r="SGT136" s="118"/>
      <c r="SGU136" s="118"/>
      <c r="SGV136" s="118"/>
      <c r="SHA136" s="118"/>
      <c r="SHB136" s="118"/>
      <c r="SHC136" s="118"/>
      <c r="SHD136" s="118"/>
      <c r="SHE136" s="118"/>
      <c r="SHF136" s="118"/>
      <c r="SHG136" s="118"/>
      <c r="SHH136" s="118"/>
      <c r="SHI136" s="118"/>
      <c r="SHJ136" s="118"/>
      <c r="SHV136" s="82"/>
      <c r="SHY136" s="69"/>
      <c r="SIC136" s="116"/>
      <c r="SID136" s="116"/>
      <c r="SIE136" s="116"/>
      <c r="SIF136" s="116"/>
      <c r="SIG136" s="116"/>
      <c r="SIH136" s="116"/>
      <c r="SII136" s="116"/>
      <c r="SIJ136" s="116"/>
      <c r="SIK136" s="116"/>
      <c r="SIL136" s="116"/>
      <c r="SIM136" s="116"/>
      <c r="SIN136" s="116"/>
      <c r="SIO136" s="116"/>
      <c r="SIP136" s="116"/>
      <c r="SIQ136" s="118"/>
      <c r="SIR136" s="118"/>
      <c r="SIS136" s="118"/>
      <c r="SIT136" s="118"/>
      <c r="SIU136" s="118"/>
      <c r="SIV136" s="118"/>
      <c r="SIW136" s="118"/>
      <c r="SIX136" s="118"/>
      <c r="SIY136" s="118"/>
      <c r="SIZ136" s="118"/>
      <c r="SJA136" s="118"/>
      <c r="SJB136" s="118"/>
      <c r="SJC136" s="118"/>
      <c r="SJD136" s="118"/>
      <c r="SJE136" s="118"/>
      <c r="SJJ136" s="118"/>
      <c r="SJK136" s="118"/>
      <c r="SJL136" s="118"/>
      <c r="SJM136" s="118"/>
      <c r="SJN136" s="118"/>
      <c r="SJO136" s="118"/>
      <c r="SJP136" s="118"/>
      <c r="SJQ136" s="118"/>
      <c r="SJR136" s="118"/>
      <c r="SJS136" s="118"/>
      <c r="SKE136" s="82"/>
      <c r="SKH136" s="69"/>
      <c r="SKL136" s="116"/>
      <c r="SKM136" s="116"/>
      <c r="SKN136" s="116"/>
      <c r="SKO136" s="116"/>
      <c r="SKP136" s="116"/>
      <c r="SKQ136" s="116"/>
      <c r="SKR136" s="116"/>
      <c r="SKS136" s="116"/>
      <c r="SKT136" s="116"/>
      <c r="SKU136" s="116"/>
      <c r="SKV136" s="116"/>
      <c r="SKW136" s="116"/>
      <c r="SKX136" s="116"/>
      <c r="SKY136" s="116"/>
      <c r="SKZ136" s="118"/>
      <c r="SLA136" s="118"/>
      <c r="SLB136" s="118"/>
      <c r="SLC136" s="118"/>
      <c r="SLD136" s="118"/>
      <c r="SLE136" s="118"/>
      <c r="SLF136" s="118"/>
      <c r="SLG136" s="118"/>
      <c r="SLH136" s="118"/>
      <c r="SLI136" s="118"/>
      <c r="SLJ136" s="118"/>
      <c r="SLK136" s="118"/>
      <c r="SLL136" s="118"/>
      <c r="SLM136" s="118"/>
      <c r="SLN136" s="118"/>
      <c r="SLS136" s="118"/>
      <c r="SLT136" s="118"/>
      <c r="SLU136" s="118"/>
      <c r="SLV136" s="118"/>
      <c r="SLW136" s="118"/>
      <c r="SLX136" s="118"/>
      <c r="SLY136" s="118"/>
      <c r="SLZ136" s="118"/>
      <c r="SMA136" s="118"/>
      <c r="SMB136" s="118"/>
      <c r="SMN136" s="82"/>
      <c r="SMQ136" s="69"/>
      <c r="SMU136" s="116"/>
      <c r="SMV136" s="116"/>
      <c r="SMW136" s="116"/>
      <c r="SMX136" s="116"/>
      <c r="SMY136" s="116"/>
      <c r="SMZ136" s="116"/>
      <c r="SNA136" s="116"/>
      <c r="SNB136" s="116"/>
      <c r="SNC136" s="116"/>
      <c r="SND136" s="116"/>
      <c r="SNE136" s="116"/>
      <c r="SNF136" s="116"/>
      <c r="SNG136" s="116"/>
      <c r="SNH136" s="116"/>
      <c r="SNI136" s="118"/>
      <c r="SNJ136" s="118"/>
      <c r="SNK136" s="118"/>
      <c r="SNL136" s="118"/>
      <c r="SNM136" s="118"/>
      <c r="SNN136" s="118"/>
      <c r="SNO136" s="118"/>
      <c r="SNP136" s="118"/>
      <c r="SNQ136" s="118"/>
      <c r="SNR136" s="118"/>
      <c r="SNS136" s="118"/>
      <c r="SNT136" s="118"/>
      <c r="SNU136" s="118"/>
      <c r="SNV136" s="118"/>
      <c r="SNW136" s="118"/>
      <c r="SOB136" s="118"/>
      <c r="SOC136" s="118"/>
      <c r="SOD136" s="118"/>
      <c r="SOE136" s="118"/>
      <c r="SOF136" s="118"/>
      <c r="SOG136" s="118"/>
      <c r="SOH136" s="118"/>
      <c r="SOI136" s="118"/>
      <c r="SOJ136" s="118"/>
      <c r="SOK136" s="118"/>
      <c r="SOW136" s="82"/>
      <c r="SOZ136" s="69"/>
      <c r="SPD136" s="116"/>
      <c r="SPE136" s="116"/>
      <c r="SPF136" s="116"/>
      <c r="SPG136" s="116"/>
      <c r="SPH136" s="116"/>
      <c r="SPI136" s="116"/>
      <c r="SPJ136" s="116"/>
      <c r="SPK136" s="116"/>
      <c r="SPL136" s="116"/>
      <c r="SPM136" s="116"/>
      <c r="SPN136" s="116"/>
      <c r="SPO136" s="116"/>
      <c r="SPP136" s="116"/>
      <c r="SPQ136" s="116"/>
      <c r="SPR136" s="118"/>
      <c r="SPS136" s="118"/>
      <c r="SPT136" s="118"/>
      <c r="SPU136" s="118"/>
      <c r="SPV136" s="118"/>
      <c r="SPW136" s="118"/>
      <c r="SPX136" s="118"/>
      <c r="SPY136" s="118"/>
      <c r="SPZ136" s="118"/>
      <c r="SQA136" s="118"/>
      <c r="SQB136" s="118"/>
      <c r="SQC136" s="118"/>
      <c r="SQD136" s="118"/>
      <c r="SQE136" s="118"/>
      <c r="SQF136" s="118"/>
      <c r="SQK136" s="118"/>
      <c r="SQL136" s="118"/>
      <c r="SQM136" s="118"/>
      <c r="SQN136" s="118"/>
      <c r="SQO136" s="118"/>
      <c r="SQP136" s="118"/>
      <c r="SQQ136" s="118"/>
      <c r="SQR136" s="118"/>
      <c r="SQS136" s="118"/>
      <c r="SQT136" s="118"/>
      <c r="SRF136" s="82"/>
      <c r="SRI136" s="69"/>
      <c r="SRM136" s="116"/>
      <c r="SRN136" s="116"/>
      <c r="SRO136" s="116"/>
      <c r="SRP136" s="116"/>
      <c r="SRQ136" s="116"/>
      <c r="SRR136" s="116"/>
      <c r="SRS136" s="116"/>
      <c r="SRT136" s="116"/>
      <c r="SRU136" s="116"/>
      <c r="SRV136" s="116"/>
      <c r="SRW136" s="116"/>
      <c r="SRX136" s="116"/>
      <c r="SRY136" s="116"/>
      <c r="SRZ136" s="116"/>
      <c r="SSA136" s="118"/>
      <c r="SSB136" s="118"/>
      <c r="SSC136" s="118"/>
      <c r="SSD136" s="118"/>
      <c r="SSE136" s="118"/>
      <c r="SSF136" s="118"/>
      <c r="SSG136" s="118"/>
      <c r="SSH136" s="118"/>
      <c r="SSI136" s="118"/>
      <c r="SSJ136" s="118"/>
      <c r="SSK136" s="118"/>
      <c r="SSL136" s="118"/>
      <c r="SSM136" s="118"/>
      <c r="SSN136" s="118"/>
      <c r="SSO136" s="118"/>
      <c r="SST136" s="118"/>
      <c r="SSU136" s="118"/>
      <c r="SSV136" s="118"/>
      <c r="SSW136" s="118"/>
      <c r="SSX136" s="118"/>
      <c r="SSY136" s="118"/>
      <c r="SSZ136" s="118"/>
      <c r="STA136" s="118"/>
      <c r="STB136" s="118"/>
      <c r="STC136" s="118"/>
      <c r="STO136" s="82"/>
      <c r="STR136" s="69"/>
      <c r="STV136" s="116"/>
      <c r="STW136" s="116"/>
      <c r="STX136" s="116"/>
      <c r="STY136" s="116"/>
      <c r="STZ136" s="116"/>
      <c r="SUA136" s="116"/>
      <c r="SUB136" s="116"/>
      <c r="SUC136" s="116"/>
      <c r="SUD136" s="116"/>
      <c r="SUE136" s="116"/>
      <c r="SUF136" s="116"/>
      <c r="SUG136" s="116"/>
      <c r="SUH136" s="116"/>
      <c r="SUI136" s="116"/>
      <c r="SUJ136" s="118"/>
      <c r="SUK136" s="118"/>
      <c r="SUL136" s="118"/>
      <c r="SUM136" s="118"/>
      <c r="SUN136" s="118"/>
      <c r="SUO136" s="118"/>
      <c r="SUP136" s="118"/>
      <c r="SUQ136" s="118"/>
      <c r="SUR136" s="118"/>
      <c r="SUS136" s="118"/>
      <c r="SUT136" s="118"/>
      <c r="SUU136" s="118"/>
      <c r="SUV136" s="118"/>
      <c r="SUW136" s="118"/>
      <c r="SUX136" s="118"/>
      <c r="SVC136" s="118"/>
      <c r="SVD136" s="118"/>
      <c r="SVE136" s="118"/>
      <c r="SVF136" s="118"/>
      <c r="SVG136" s="118"/>
      <c r="SVH136" s="118"/>
      <c r="SVI136" s="118"/>
      <c r="SVJ136" s="118"/>
      <c r="SVK136" s="118"/>
      <c r="SVL136" s="118"/>
      <c r="SVX136" s="82"/>
      <c r="SWA136" s="69"/>
      <c r="SWE136" s="116"/>
      <c r="SWF136" s="116"/>
      <c r="SWG136" s="116"/>
      <c r="SWH136" s="116"/>
      <c r="SWI136" s="116"/>
      <c r="SWJ136" s="116"/>
      <c r="SWK136" s="116"/>
      <c r="SWL136" s="116"/>
      <c r="SWM136" s="116"/>
      <c r="SWN136" s="116"/>
      <c r="SWO136" s="116"/>
      <c r="SWP136" s="116"/>
      <c r="SWQ136" s="116"/>
      <c r="SWR136" s="116"/>
      <c r="SWS136" s="118"/>
      <c r="SWT136" s="118"/>
      <c r="SWU136" s="118"/>
      <c r="SWV136" s="118"/>
      <c r="SWW136" s="118"/>
      <c r="SWX136" s="118"/>
      <c r="SWY136" s="118"/>
      <c r="SWZ136" s="118"/>
      <c r="SXA136" s="118"/>
      <c r="SXB136" s="118"/>
      <c r="SXC136" s="118"/>
      <c r="SXD136" s="118"/>
      <c r="SXE136" s="118"/>
      <c r="SXF136" s="118"/>
      <c r="SXG136" s="118"/>
      <c r="SXL136" s="118"/>
      <c r="SXM136" s="118"/>
      <c r="SXN136" s="118"/>
      <c r="SXO136" s="118"/>
      <c r="SXP136" s="118"/>
      <c r="SXQ136" s="118"/>
      <c r="SXR136" s="118"/>
      <c r="SXS136" s="118"/>
      <c r="SXT136" s="118"/>
      <c r="SXU136" s="118"/>
      <c r="SYG136" s="82"/>
      <c r="SYJ136" s="69"/>
      <c r="SYN136" s="116"/>
      <c r="SYO136" s="116"/>
      <c r="SYP136" s="116"/>
      <c r="SYQ136" s="116"/>
      <c r="SYR136" s="116"/>
      <c r="SYS136" s="116"/>
      <c r="SYT136" s="116"/>
      <c r="SYU136" s="116"/>
      <c r="SYV136" s="116"/>
      <c r="SYW136" s="116"/>
      <c r="SYX136" s="116"/>
      <c r="SYY136" s="116"/>
      <c r="SYZ136" s="116"/>
      <c r="SZA136" s="116"/>
      <c r="SZB136" s="118"/>
      <c r="SZC136" s="118"/>
      <c r="SZD136" s="118"/>
      <c r="SZE136" s="118"/>
      <c r="SZF136" s="118"/>
      <c r="SZG136" s="118"/>
      <c r="SZH136" s="118"/>
      <c r="SZI136" s="118"/>
      <c r="SZJ136" s="118"/>
      <c r="SZK136" s="118"/>
      <c r="SZL136" s="118"/>
      <c r="SZM136" s="118"/>
      <c r="SZN136" s="118"/>
      <c r="SZO136" s="118"/>
      <c r="SZP136" s="118"/>
      <c r="SZU136" s="118"/>
      <c r="SZV136" s="118"/>
      <c r="SZW136" s="118"/>
      <c r="SZX136" s="118"/>
      <c r="SZY136" s="118"/>
      <c r="SZZ136" s="118"/>
      <c r="TAA136" s="118"/>
      <c r="TAB136" s="118"/>
      <c r="TAC136" s="118"/>
      <c r="TAD136" s="118"/>
      <c r="TAP136" s="82"/>
      <c r="TAS136" s="69"/>
      <c r="TAW136" s="116"/>
      <c r="TAX136" s="116"/>
      <c r="TAY136" s="116"/>
      <c r="TAZ136" s="116"/>
      <c r="TBA136" s="116"/>
      <c r="TBB136" s="116"/>
      <c r="TBC136" s="116"/>
      <c r="TBD136" s="116"/>
      <c r="TBE136" s="116"/>
      <c r="TBF136" s="116"/>
      <c r="TBG136" s="116"/>
      <c r="TBH136" s="116"/>
      <c r="TBI136" s="116"/>
      <c r="TBJ136" s="116"/>
      <c r="TBK136" s="118"/>
      <c r="TBL136" s="118"/>
      <c r="TBM136" s="118"/>
      <c r="TBN136" s="118"/>
      <c r="TBO136" s="118"/>
      <c r="TBP136" s="118"/>
      <c r="TBQ136" s="118"/>
      <c r="TBR136" s="118"/>
      <c r="TBS136" s="118"/>
      <c r="TBT136" s="118"/>
      <c r="TBU136" s="118"/>
      <c r="TBV136" s="118"/>
      <c r="TBW136" s="118"/>
      <c r="TBX136" s="118"/>
      <c r="TBY136" s="118"/>
      <c r="TCD136" s="118"/>
      <c r="TCE136" s="118"/>
      <c r="TCF136" s="118"/>
      <c r="TCG136" s="118"/>
      <c r="TCH136" s="118"/>
      <c r="TCI136" s="118"/>
      <c r="TCJ136" s="118"/>
      <c r="TCK136" s="118"/>
      <c r="TCL136" s="118"/>
      <c r="TCM136" s="118"/>
      <c r="TCY136" s="82"/>
      <c r="TDB136" s="69"/>
      <c r="TDF136" s="116"/>
      <c r="TDG136" s="116"/>
      <c r="TDH136" s="116"/>
      <c r="TDI136" s="116"/>
      <c r="TDJ136" s="116"/>
      <c r="TDK136" s="116"/>
      <c r="TDL136" s="116"/>
      <c r="TDM136" s="116"/>
      <c r="TDN136" s="116"/>
      <c r="TDO136" s="116"/>
      <c r="TDP136" s="116"/>
      <c r="TDQ136" s="116"/>
      <c r="TDR136" s="116"/>
      <c r="TDS136" s="116"/>
      <c r="TDT136" s="118"/>
      <c r="TDU136" s="118"/>
      <c r="TDV136" s="118"/>
      <c r="TDW136" s="118"/>
      <c r="TDX136" s="118"/>
      <c r="TDY136" s="118"/>
      <c r="TDZ136" s="118"/>
      <c r="TEA136" s="118"/>
      <c r="TEB136" s="118"/>
      <c r="TEC136" s="118"/>
      <c r="TED136" s="118"/>
      <c r="TEE136" s="118"/>
      <c r="TEF136" s="118"/>
      <c r="TEG136" s="118"/>
      <c r="TEH136" s="118"/>
      <c r="TEM136" s="118"/>
      <c r="TEN136" s="118"/>
      <c r="TEO136" s="118"/>
      <c r="TEP136" s="118"/>
      <c r="TEQ136" s="118"/>
      <c r="TER136" s="118"/>
      <c r="TES136" s="118"/>
      <c r="TET136" s="118"/>
      <c r="TEU136" s="118"/>
      <c r="TEV136" s="118"/>
      <c r="TFH136" s="82"/>
      <c r="TFK136" s="69"/>
      <c r="TFO136" s="116"/>
      <c r="TFP136" s="116"/>
      <c r="TFQ136" s="116"/>
      <c r="TFR136" s="116"/>
      <c r="TFS136" s="116"/>
      <c r="TFT136" s="116"/>
      <c r="TFU136" s="116"/>
      <c r="TFV136" s="116"/>
      <c r="TFW136" s="116"/>
      <c r="TFX136" s="116"/>
      <c r="TFY136" s="116"/>
      <c r="TFZ136" s="116"/>
      <c r="TGA136" s="116"/>
      <c r="TGB136" s="116"/>
      <c r="TGC136" s="118"/>
      <c r="TGD136" s="118"/>
      <c r="TGE136" s="118"/>
      <c r="TGF136" s="118"/>
      <c r="TGG136" s="118"/>
      <c r="TGH136" s="118"/>
      <c r="TGI136" s="118"/>
      <c r="TGJ136" s="118"/>
      <c r="TGK136" s="118"/>
      <c r="TGL136" s="118"/>
      <c r="TGM136" s="118"/>
      <c r="TGN136" s="118"/>
      <c r="TGO136" s="118"/>
      <c r="TGP136" s="118"/>
      <c r="TGQ136" s="118"/>
      <c r="TGV136" s="118"/>
      <c r="TGW136" s="118"/>
      <c r="TGX136" s="118"/>
      <c r="TGY136" s="118"/>
      <c r="TGZ136" s="118"/>
      <c r="THA136" s="118"/>
      <c r="THB136" s="118"/>
      <c r="THC136" s="118"/>
      <c r="THD136" s="118"/>
      <c r="THE136" s="118"/>
      <c r="THQ136" s="82"/>
      <c r="THT136" s="69"/>
      <c r="THX136" s="116"/>
      <c r="THY136" s="116"/>
      <c r="THZ136" s="116"/>
      <c r="TIA136" s="116"/>
      <c r="TIB136" s="116"/>
      <c r="TIC136" s="116"/>
      <c r="TID136" s="116"/>
      <c r="TIE136" s="116"/>
      <c r="TIF136" s="116"/>
      <c r="TIG136" s="116"/>
      <c r="TIH136" s="116"/>
      <c r="TII136" s="116"/>
      <c r="TIJ136" s="116"/>
      <c r="TIK136" s="116"/>
      <c r="TIL136" s="118"/>
      <c r="TIM136" s="118"/>
      <c r="TIN136" s="118"/>
      <c r="TIO136" s="118"/>
      <c r="TIP136" s="118"/>
      <c r="TIQ136" s="118"/>
      <c r="TIR136" s="118"/>
      <c r="TIS136" s="118"/>
      <c r="TIT136" s="118"/>
      <c r="TIU136" s="118"/>
      <c r="TIV136" s="118"/>
      <c r="TIW136" s="118"/>
      <c r="TIX136" s="118"/>
      <c r="TIY136" s="118"/>
      <c r="TIZ136" s="118"/>
      <c r="TJE136" s="118"/>
      <c r="TJF136" s="118"/>
      <c r="TJG136" s="118"/>
      <c r="TJH136" s="118"/>
      <c r="TJI136" s="118"/>
      <c r="TJJ136" s="118"/>
      <c r="TJK136" s="118"/>
      <c r="TJL136" s="118"/>
      <c r="TJM136" s="118"/>
      <c r="TJN136" s="118"/>
      <c r="TJZ136" s="82"/>
      <c r="TKC136" s="69"/>
      <c r="TKG136" s="116"/>
      <c r="TKH136" s="116"/>
      <c r="TKI136" s="116"/>
      <c r="TKJ136" s="116"/>
      <c r="TKK136" s="116"/>
      <c r="TKL136" s="116"/>
      <c r="TKM136" s="116"/>
      <c r="TKN136" s="116"/>
      <c r="TKO136" s="116"/>
      <c r="TKP136" s="116"/>
      <c r="TKQ136" s="116"/>
      <c r="TKR136" s="116"/>
      <c r="TKS136" s="116"/>
      <c r="TKT136" s="116"/>
      <c r="TKU136" s="118"/>
      <c r="TKV136" s="118"/>
      <c r="TKW136" s="118"/>
      <c r="TKX136" s="118"/>
      <c r="TKY136" s="118"/>
      <c r="TKZ136" s="118"/>
      <c r="TLA136" s="118"/>
      <c r="TLB136" s="118"/>
      <c r="TLC136" s="118"/>
      <c r="TLD136" s="118"/>
      <c r="TLE136" s="118"/>
      <c r="TLF136" s="118"/>
      <c r="TLG136" s="118"/>
      <c r="TLH136" s="118"/>
      <c r="TLI136" s="118"/>
      <c r="TLN136" s="118"/>
      <c r="TLO136" s="118"/>
      <c r="TLP136" s="118"/>
      <c r="TLQ136" s="118"/>
      <c r="TLR136" s="118"/>
      <c r="TLS136" s="118"/>
      <c r="TLT136" s="118"/>
      <c r="TLU136" s="118"/>
      <c r="TLV136" s="118"/>
      <c r="TLW136" s="118"/>
      <c r="TMI136" s="82"/>
      <c r="TML136" s="69"/>
      <c r="TMP136" s="116"/>
      <c r="TMQ136" s="116"/>
      <c r="TMR136" s="116"/>
      <c r="TMS136" s="116"/>
      <c r="TMT136" s="116"/>
      <c r="TMU136" s="116"/>
      <c r="TMV136" s="116"/>
      <c r="TMW136" s="116"/>
      <c r="TMX136" s="116"/>
      <c r="TMY136" s="116"/>
      <c r="TMZ136" s="116"/>
      <c r="TNA136" s="116"/>
      <c r="TNB136" s="116"/>
      <c r="TNC136" s="116"/>
      <c r="TND136" s="118"/>
      <c r="TNE136" s="118"/>
      <c r="TNF136" s="118"/>
      <c r="TNG136" s="118"/>
      <c r="TNH136" s="118"/>
      <c r="TNI136" s="118"/>
      <c r="TNJ136" s="118"/>
      <c r="TNK136" s="118"/>
      <c r="TNL136" s="118"/>
      <c r="TNM136" s="118"/>
      <c r="TNN136" s="118"/>
      <c r="TNO136" s="118"/>
      <c r="TNP136" s="118"/>
      <c r="TNQ136" s="118"/>
      <c r="TNR136" s="118"/>
      <c r="TNW136" s="118"/>
      <c r="TNX136" s="118"/>
      <c r="TNY136" s="118"/>
      <c r="TNZ136" s="118"/>
      <c r="TOA136" s="118"/>
      <c r="TOB136" s="118"/>
      <c r="TOC136" s="118"/>
      <c r="TOD136" s="118"/>
      <c r="TOE136" s="118"/>
      <c r="TOF136" s="118"/>
      <c r="TOR136" s="82"/>
      <c r="TOU136" s="69"/>
      <c r="TOY136" s="116"/>
      <c r="TOZ136" s="116"/>
      <c r="TPA136" s="116"/>
      <c r="TPB136" s="116"/>
      <c r="TPC136" s="116"/>
      <c r="TPD136" s="116"/>
      <c r="TPE136" s="116"/>
      <c r="TPF136" s="116"/>
      <c r="TPG136" s="116"/>
      <c r="TPH136" s="116"/>
      <c r="TPI136" s="116"/>
      <c r="TPJ136" s="116"/>
      <c r="TPK136" s="116"/>
      <c r="TPL136" s="116"/>
      <c r="TPM136" s="118"/>
      <c r="TPN136" s="118"/>
      <c r="TPO136" s="118"/>
      <c r="TPP136" s="118"/>
      <c r="TPQ136" s="118"/>
      <c r="TPR136" s="118"/>
      <c r="TPS136" s="118"/>
      <c r="TPT136" s="118"/>
      <c r="TPU136" s="118"/>
      <c r="TPV136" s="118"/>
      <c r="TPW136" s="118"/>
      <c r="TPX136" s="118"/>
      <c r="TPY136" s="118"/>
      <c r="TPZ136" s="118"/>
      <c r="TQA136" s="118"/>
      <c r="TQF136" s="118"/>
      <c r="TQG136" s="118"/>
      <c r="TQH136" s="118"/>
      <c r="TQI136" s="118"/>
      <c r="TQJ136" s="118"/>
      <c r="TQK136" s="118"/>
      <c r="TQL136" s="118"/>
      <c r="TQM136" s="118"/>
      <c r="TQN136" s="118"/>
      <c r="TQO136" s="118"/>
      <c r="TRA136" s="82"/>
      <c r="TRD136" s="69"/>
      <c r="TRH136" s="116"/>
      <c r="TRI136" s="116"/>
      <c r="TRJ136" s="116"/>
      <c r="TRK136" s="116"/>
      <c r="TRL136" s="116"/>
      <c r="TRM136" s="116"/>
      <c r="TRN136" s="116"/>
      <c r="TRO136" s="116"/>
      <c r="TRP136" s="116"/>
      <c r="TRQ136" s="116"/>
      <c r="TRR136" s="116"/>
      <c r="TRS136" s="116"/>
      <c r="TRT136" s="116"/>
      <c r="TRU136" s="116"/>
      <c r="TRV136" s="118"/>
      <c r="TRW136" s="118"/>
      <c r="TRX136" s="118"/>
      <c r="TRY136" s="118"/>
      <c r="TRZ136" s="118"/>
      <c r="TSA136" s="118"/>
      <c r="TSB136" s="118"/>
      <c r="TSC136" s="118"/>
      <c r="TSD136" s="118"/>
      <c r="TSE136" s="118"/>
      <c r="TSF136" s="118"/>
      <c r="TSG136" s="118"/>
      <c r="TSH136" s="118"/>
      <c r="TSI136" s="118"/>
      <c r="TSJ136" s="118"/>
      <c r="TSO136" s="118"/>
      <c r="TSP136" s="118"/>
      <c r="TSQ136" s="118"/>
      <c r="TSR136" s="118"/>
      <c r="TSS136" s="118"/>
      <c r="TST136" s="118"/>
      <c r="TSU136" s="118"/>
      <c r="TSV136" s="118"/>
      <c r="TSW136" s="118"/>
      <c r="TSX136" s="118"/>
      <c r="TTJ136" s="82"/>
      <c r="TTM136" s="69"/>
      <c r="TTQ136" s="116"/>
      <c r="TTR136" s="116"/>
      <c r="TTS136" s="116"/>
      <c r="TTT136" s="116"/>
      <c r="TTU136" s="116"/>
      <c r="TTV136" s="116"/>
      <c r="TTW136" s="116"/>
      <c r="TTX136" s="116"/>
      <c r="TTY136" s="116"/>
      <c r="TTZ136" s="116"/>
      <c r="TUA136" s="116"/>
      <c r="TUB136" s="116"/>
      <c r="TUC136" s="116"/>
      <c r="TUD136" s="116"/>
      <c r="TUE136" s="118"/>
      <c r="TUF136" s="118"/>
      <c r="TUG136" s="118"/>
      <c r="TUH136" s="118"/>
      <c r="TUI136" s="118"/>
      <c r="TUJ136" s="118"/>
      <c r="TUK136" s="118"/>
      <c r="TUL136" s="118"/>
      <c r="TUM136" s="118"/>
      <c r="TUN136" s="118"/>
      <c r="TUO136" s="118"/>
      <c r="TUP136" s="118"/>
      <c r="TUQ136" s="118"/>
      <c r="TUR136" s="118"/>
      <c r="TUS136" s="118"/>
      <c r="TUX136" s="118"/>
      <c r="TUY136" s="118"/>
      <c r="TUZ136" s="118"/>
      <c r="TVA136" s="118"/>
      <c r="TVB136" s="118"/>
      <c r="TVC136" s="118"/>
      <c r="TVD136" s="118"/>
      <c r="TVE136" s="118"/>
      <c r="TVF136" s="118"/>
      <c r="TVG136" s="118"/>
      <c r="TVS136" s="82"/>
      <c r="TVV136" s="69"/>
      <c r="TVZ136" s="116"/>
      <c r="TWA136" s="116"/>
      <c r="TWB136" s="116"/>
      <c r="TWC136" s="116"/>
      <c r="TWD136" s="116"/>
      <c r="TWE136" s="116"/>
      <c r="TWF136" s="116"/>
      <c r="TWG136" s="116"/>
      <c r="TWH136" s="116"/>
      <c r="TWI136" s="116"/>
      <c r="TWJ136" s="116"/>
      <c r="TWK136" s="116"/>
      <c r="TWL136" s="116"/>
      <c r="TWM136" s="116"/>
      <c r="TWN136" s="118"/>
      <c r="TWO136" s="118"/>
      <c r="TWP136" s="118"/>
      <c r="TWQ136" s="118"/>
      <c r="TWR136" s="118"/>
      <c r="TWS136" s="118"/>
      <c r="TWT136" s="118"/>
      <c r="TWU136" s="118"/>
      <c r="TWV136" s="118"/>
      <c r="TWW136" s="118"/>
      <c r="TWX136" s="118"/>
      <c r="TWY136" s="118"/>
      <c r="TWZ136" s="118"/>
      <c r="TXA136" s="118"/>
      <c r="TXB136" s="118"/>
      <c r="TXG136" s="118"/>
      <c r="TXH136" s="118"/>
      <c r="TXI136" s="118"/>
      <c r="TXJ136" s="118"/>
      <c r="TXK136" s="118"/>
      <c r="TXL136" s="118"/>
      <c r="TXM136" s="118"/>
      <c r="TXN136" s="118"/>
      <c r="TXO136" s="118"/>
      <c r="TXP136" s="118"/>
      <c r="TYB136" s="82"/>
      <c r="TYE136" s="69"/>
      <c r="TYI136" s="116"/>
      <c r="TYJ136" s="116"/>
      <c r="TYK136" s="116"/>
      <c r="TYL136" s="116"/>
      <c r="TYM136" s="116"/>
      <c r="TYN136" s="116"/>
      <c r="TYO136" s="116"/>
      <c r="TYP136" s="116"/>
      <c r="TYQ136" s="116"/>
      <c r="TYR136" s="116"/>
      <c r="TYS136" s="116"/>
      <c r="TYT136" s="116"/>
      <c r="TYU136" s="116"/>
      <c r="TYV136" s="116"/>
      <c r="TYW136" s="118"/>
      <c r="TYX136" s="118"/>
      <c r="TYY136" s="118"/>
      <c r="TYZ136" s="118"/>
      <c r="TZA136" s="118"/>
      <c r="TZB136" s="118"/>
      <c r="TZC136" s="118"/>
      <c r="TZD136" s="118"/>
      <c r="TZE136" s="118"/>
      <c r="TZF136" s="118"/>
      <c r="TZG136" s="118"/>
      <c r="TZH136" s="118"/>
      <c r="TZI136" s="118"/>
      <c r="TZJ136" s="118"/>
      <c r="TZK136" s="118"/>
      <c r="TZP136" s="118"/>
      <c r="TZQ136" s="118"/>
      <c r="TZR136" s="118"/>
      <c r="TZS136" s="118"/>
      <c r="TZT136" s="118"/>
      <c r="TZU136" s="118"/>
      <c r="TZV136" s="118"/>
      <c r="TZW136" s="118"/>
      <c r="TZX136" s="118"/>
      <c r="TZY136" s="118"/>
      <c r="UAK136" s="82"/>
      <c r="UAN136" s="69"/>
      <c r="UAR136" s="116"/>
      <c r="UAS136" s="116"/>
      <c r="UAT136" s="116"/>
      <c r="UAU136" s="116"/>
      <c r="UAV136" s="116"/>
      <c r="UAW136" s="116"/>
      <c r="UAX136" s="116"/>
      <c r="UAY136" s="116"/>
      <c r="UAZ136" s="116"/>
      <c r="UBA136" s="116"/>
      <c r="UBB136" s="116"/>
      <c r="UBC136" s="116"/>
      <c r="UBD136" s="116"/>
      <c r="UBE136" s="116"/>
      <c r="UBF136" s="118"/>
      <c r="UBG136" s="118"/>
      <c r="UBH136" s="118"/>
      <c r="UBI136" s="118"/>
      <c r="UBJ136" s="118"/>
      <c r="UBK136" s="118"/>
      <c r="UBL136" s="118"/>
      <c r="UBM136" s="118"/>
      <c r="UBN136" s="118"/>
      <c r="UBO136" s="118"/>
      <c r="UBP136" s="118"/>
      <c r="UBQ136" s="118"/>
      <c r="UBR136" s="118"/>
      <c r="UBS136" s="118"/>
      <c r="UBT136" s="118"/>
      <c r="UBY136" s="118"/>
      <c r="UBZ136" s="118"/>
      <c r="UCA136" s="118"/>
      <c r="UCB136" s="118"/>
      <c r="UCC136" s="118"/>
      <c r="UCD136" s="118"/>
      <c r="UCE136" s="118"/>
      <c r="UCF136" s="118"/>
      <c r="UCG136" s="118"/>
      <c r="UCH136" s="118"/>
      <c r="UCT136" s="82"/>
      <c r="UCW136" s="69"/>
      <c r="UDA136" s="116"/>
      <c r="UDB136" s="116"/>
      <c r="UDC136" s="116"/>
      <c r="UDD136" s="116"/>
      <c r="UDE136" s="116"/>
      <c r="UDF136" s="116"/>
      <c r="UDG136" s="116"/>
      <c r="UDH136" s="116"/>
      <c r="UDI136" s="116"/>
      <c r="UDJ136" s="116"/>
      <c r="UDK136" s="116"/>
      <c r="UDL136" s="116"/>
      <c r="UDM136" s="116"/>
      <c r="UDN136" s="116"/>
      <c r="UDO136" s="118"/>
      <c r="UDP136" s="118"/>
      <c r="UDQ136" s="118"/>
      <c r="UDR136" s="118"/>
      <c r="UDS136" s="118"/>
      <c r="UDT136" s="118"/>
      <c r="UDU136" s="118"/>
      <c r="UDV136" s="118"/>
      <c r="UDW136" s="118"/>
      <c r="UDX136" s="118"/>
      <c r="UDY136" s="118"/>
      <c r="UDZ136" s="118"/>
      <c r="UEA136" s="118"/>
      <c r="UEB136" s="118"/>
      <c r="UEC136" s="118"/>
      <c r="UEH136" s="118"/>
      <c r="UEI136" s="118"/>
      <c r="UEJ136" s="118"/>
      <c r="UEK136" s="118"/>
      <c r="UEL136" s="118"/>
      <c r="UEM136" s="118"/>
      <c r="UEN136" s="118"/>
      <c r="UEO136" s="118"/>
      <c r="UEP136" s="118"/>
      <c r="UEQ136" s="118"/>
      <c r="UFC136" s="82"/>
      <c r="UFF136" s="69"/>
      <c r="UFJ136" s="116"/>
      <c r="UFK136" s="116"/>
      <c r="UFL136" s="116"/>
      <c r="UFM136" s="116"/>
      <c r="UFN136" s="116"/>
      <c r="UFO136" s="116"/>
      <c r="UFP136" s="116"/>
      <c r="UFQ136" s="116"/>
      <c r="UFR136" s="116"/>
      <c r="UFS136" s="116"/>
      <c r="UFT136" s="116"/>
      <c r="UFU136" s="116"/>
      <c r="UFV136" s="116"/>
      <c r="UFW136" s="116"/>
      <c r="UFX136" s="118"/>
      <c r="UFY136" s="118"/>
      <c r="UFZ136" s="118"/>
      <c r="UGA136" s="118"/>
      <c r="UGB136" s="118"/>
      <c r="UGC136" s="118"/>
      <c r="UGD136" s="118"/>
      <c r="UGE136" s="118"/>
      <c r="UGF136" s="118"/>
      <c r="UGG136" s="118"/>
      <c r="UGH136" s="118"/>
      <c r="UGI136" s="118"/>
      <c r="UGJ136" s="118"/>
      <c r="UGK136" s="118"/>
      <c r="UGL136" s="118"/>
      <c r="UGQ136" s="118"/>
      <c r="UGR136" s="118"/>
      <c r="UGS136" s="118"/>
      <c r="UGT136" s="118"/>
      <c r="UGU136" s="118"/>
      <c r="UGV136" s="118"/>
      <c r="UGW136" s="118"/>
      <c r="UGX136" s="118"/>
      <c r="UGY136" s="118"/>
      <c r="UGZ136" s="118"/>
      <c r="UHL136" s="82"/>
      <c r="UHO136" s="69"/>
      <c r="UHS136" s="116"/>
      <c r="UHT136" s="116"/>
      <c r="UHU136" s="116"/>
      <c r="UHV136" s="116"/>
      <c r="UHW136" s="116"/>
      <c r="UHX136" s="116"/>
      <c r="UHY136" s="116"/>
      <c r="UHZ136" s="116"/>
      <c r="UIA136" s="116"/>
      <c r="UIB136" s="116"/>
      <c r="UIC136" s="116"/>
      <c r="UID136" s="116"/>
      <c r="UIE136" s="116"/>
      <c r="UIF136" s="116"/>
      <c r="UIG136" s="118"/>
      <c r="UIH136" s="118"/>
      <c r="UII136" s="118"/>
      <c r="UIJ136" s="118"/>
      <c r="UIK136" s="118"/>
      <c r="UIL136" s="118"/>
      <c r="UIM136" s="118"/>
      <c r="UIN136" s="118"/>
      <c r="UIO136" s="118"/>
      <c r="UIP136" s="118"/>
      <c r="UIQ136" s="118"/>
      <c r="UIR136" s="118"/>
      <c r="UIS136" s="118"/>
      <c r="UIT136" s="118"/>
      <c r="UIU136" s="118"/>
      <c r="UIZ136" s="118"/>
      <c r="UJA136" s="118"/>
      <c r="UJB136" s="118"/>
      <c r="UJC136" s="118"/>
      <c r="UJD136" s="118"/>
      <c r="UJE136" s="118"/>
      <c r="UJF136" s="118"/>
      <c r="UJG136" s="118"/>
      <c r="UJH136" s="118"/>
      <c r="UJI136" s="118"/>
      <c r="UJU136" s="82"/>
      <c r="UJX136" s="69"/>
      <c r="UKB136" s="116"/>
      <c r="UKC136" s="116"/>
      <c r="UKD136" s="116"/>
      <c r="UKE136" s="116"/>
      <c r="UKF136" s="116"/>
      <c r="UKG136" s="116"/>
      <c r="UKH136" s="116"/>
      <c r="UKI136" s="116"/>
      <c r="UKJ136" s="116"/>
      <c r="UKK136" s="116"/>
      <c r="UKL136" s="116"/>
      <c r="UKM136" s="116"/>
      <c r="UKN136" s="116"/>
      <c r="UKO136" s="116"/>
      <c r="UKP136" s="118"/>
      <c r="UKQ136" s="118"/>
      <c r="UKR136" s="118"/>
      <c r="UKS136" s="118"/>
      <c r="UKT136" s="118"/>
      <c r="UKU136" s="118"/>
      <c r="UKV136" s="118"/>
      <c r="UKW136" s="118"/>
      <c r="UKX136" s="118"/>
      <c r="UKY136" s="118"/>
      <c r="UKZ136" s="118"/>
      <c r="ULA136" s="118"/>
      <c r="ULB136" s="118"/>
      <c r="ULC136" s="118"/>
      <c r="ULD136" s="118"/>
      <c r="ULI136" s="118"/>
      <c r="ULJ136" s="118"/>
      <c r="ULK136" s="118"/>
      <c r="ULL136" s="118"/>
      <c r="ULM136" s="118"/>
      <c r="ULN136" s="118"/>
      <c r="ULO136" s="118"/>
      <c r="ULP136" s="118"/>
      <c r="ULQ136" s="118"/>
      <c r="ULR136" s="118"/>
      <c r="UMD136" s="82"/>
      <c r="UMG136" s="69"/>
      <c r="UMK136" s="116"/>
      <c r="UML136" s="116"/>
      <c r="UMM136" s="116"/>
      <c r="UMN136" s="116"/>
      <c r="UMO136" s="116"/>
      <c r="UMP136" s="116"/>
      <c r="UMQ136" s="116"/>
      <c r="UMR136" s="116"/>
      <c r="UMS136" s="116"/>
      <c r="UMT136" s="116"/>
      <c r="UMU136" s="116"/>
      <c r="UMV136" s="116"/>
      <c r="UMW136" s="116"/>
      <c r="UMX136" s="116"/>
      <c r="UMY136" s="118"/>
      <c r="UMZ136" s="118"/>
      <c r="UNA136" s="118"/>
      <c r="UNB136" s="118"/>
      <c r="UNC136" s="118"/>
      <c r="UND136" s="118"/>
      <c r="UNE136" s="118"/>
      <c r="UNF136" s="118"/>
      <c r="UNG136" s="118"/>
      <c r="UNH136" s="118"/>
      <c r="UNI136" s="118"/>
      <c r="UNJ136" s="118"/>
      <c r="UNK136" s="118"/>
      <c r="UNL136" s="118"/>
      <c r="UNM136" s="118"/>
      <c r="UNR136" s="118"/>
      <c r="UNS136" s="118"/>
      <c r="UNT136" s="118"/>
      <c r="UNU136" s="118"/>
      <c r="UNV136" s="118"/>
      <c r="UNW136" s="118"/>
      <c r="UNX136" s="118"/>
      <c r="UNY136" s="118"/>
      <c r="UNZ136" s="118"/>
      <c r="UOA136" s="118"/>
      <c r="UOM136" s="82"/>
      <c r="UOP136" s="69"/>
      <c r="UOT136" s="116"/>
      <c r="UOU136" s="116"/>
      <c r="UOV136" s="116"/>
      <c r="UOW136" s="116"/>
      <c r="UOX136" s="116"/>
      <c r="UOY136" s="116"/>
      <c r="UOZ136" s="116"/>
      <c r="UPA136" s="116"/>
      <c r="UPB136" s="116"/>
      <c r="UPC136" s="116"/>
      <c r="UPD136" s="116"/>
      <c r="UPE136" s="116"/>
      <c r="UPF136" s="116"/>
      <c r="UPG136" s="116"/>
      <c r="UPH136" s="118"/>
      <c r="UPI136" s="118"/>
      <c r="UPJ136" s="118"/>
      <c r="UPK136" s="118"/>
      <c r="UPL136" s="118"/>
      <c r="UPM136" s="118"/>
      <c r="UPN136" s="118"/>
      <c r="UPO136" s="118"/>
      <c r="UPP136" s="118"/>
      <c r="UPQ136" s="118"/>
      <c r="UPR136" s="118"/>
      <c r="UPS136" s="118"/>
      <c r="UPT136" s="118"/>
      <c r="UPU136" s="118"/>
      <c r="UPV136" s="118"/>
      <c r="UQA136" s="118"/>
      <c r="UQB136" s="118"/>
      <c r="UQC136" s="118"/>
      <c r="UQD136" s="118"/>
      <c r="UQE136" s="118"/>
      <c r="UQF136" s="118"/>
      <c r="UQG136" s="118"/>
      <c r="UQH136" s="118"/>
      <c r="UQI136" s="118"/>
      <c r="UQJ136" s="118"/>
      <c r="UQV136" s="82"/>
      <c r="UQY136" s="69"/>
      <c r="URC136" s="116"/>
      <c r="URD136" s="116"/>
      <c r="URE136" s="116"/>
      <c r="URF136" s="116"/>
      <c r="URG136" s="116"/>
      <c r="URH136" s="116"/>
      <c r="URI136" s="116"/>
      <c r="URJ136" s="116"/>
      <c r="URK136" s="116"/>
      <c r="URL136" s="116"/>
      <c r="URM136" s="116"/>
      <c r="URN136" s="116"/>
      <c r="URO136" s="116"/>
      <c r="URP136" s="116"/>
      <c r="URQ136" s="118"/>
      <c r="URR136" s="118"/>
      <c r="URS136" s="118"/>
      <c r="URT136" s="118"/>
      <c r="URU136" s="118"/>
      <c r="URV136" s="118"/>
      <c r="URW136" s="118"/>
      <c r="URX136" s="118"/>
      <c r="URY136" s="118"/>
      <c r="URZ136" s="118"/>
      <c r="USA136" s="118"/>
      <c r="USB136" s="118"/>
      <c r="USC136" s="118"/>
      <c r="USD136" s="118"/>
      <c r="USE136" s="118"/>
      <c r="USJ136" s="118"/>
      <c r="USK136" s="118"/>
      <c r="USL136" s="118"/>
      <c r="USM136" s="118"/>
      <c r="USN136" s="118"/>
      <c r="USO136" s="118"/>
      <c r="USP136" s="118"/>
      <c r="USQ136" s="118"/>
      <c r="USR136" s="118"/>
      <c r="USS136" s="118"/>
      <c r="UTE136" s="82"/>
      <c r="UTH136" s="69"/>
      <c r="UTL136" s="116"/>
      <c r="UTM136" s="116"/>
      <c r="UTN136" s="116"/>
      <c r="UTO136" s="116"/>
      <c r="UTP136" s="116"/>
      <c r="UTQ136" s="116"/>
      <c r="UTR136" s="116"/>
      <c r="UTS136" s="116"/>
      <c r="UTT136" s="116"/>
      <c r="UTU136" s="116"/>
      <c r="UTV136" s="116"/>
      <c r="UTW136" s="116"/>
      <c r="UTX136" s="116"/>
      <c r="UTY136" s="116"/>
      <c r="UTZ136" s="118"/>
      <c r="UUA136" s="118"/>
      <c r="UUB136" s="118"/>
      <c r="UUC136" s="118"/>
      <c r="UUD136" s="118"/>
      <c r="UUE136" s="118"/>
      <c r="UUF136" s="118"/>
      <c r="UUG136" s="118"/>
      <c r="UUH136" s="118"/>
      <c r="UUI136" s="118"/>
      <c r="UUJ136" s="118"/>
      <c r="UUK136" s="118"/>
      <c r="UUL136" s="118"/>
      <c r="UUM136" s="118"/>
      <c r="UUN136" s="118"/>
      <c r="UUS136" s="118"/>
      <c r="UUT136" s="118"/>
      <c r="UUU136" s="118"/>
      <c r="UUV136" s="118"/>
      <c r="UUW136" s="118"/>
      <c r="UUX136" s="118"/>
      <c r="UUY136" s="118"/>
      <c r="UUZ136" s="118"/>
      <c r="UVA136" s="118"/>
      <c r="UVB136" s="118"/>
      <c r="UVN136" s="82"/>
      <c r="UVQ136" s="69"/>
      <c r="UVU136" s="116"/>
      <c r="UVV136" s="116"/>
      <c r="UVW136" s="116"/>
      <c r="UVX136" s="116"/>
      <c r="UVY136" s="116"/>
      <c r="UVZ136" s="116"/>
      <c r="UWA136" s="116"/>
      <c r="UWB136" s="116"/>
      <c r="UWC136" s="116"/>
      <c r="UWD136" s="116"/>
      <c r="UWE136" s="116"/>
      <c r="UWF136" s="116"/>
      <c r="UWG136" s="116"/>
      <c r="UWH136" s="116"/>
      <c r="UWI136" s="118"/>
      <c r="UWJ136" s="118"/>
      <c r="UWK136" s="118"/>
      <c r="UWL136" s="118"/>
      <c r="UWM136" s="118"/>
      <c r="UWN136" s="118"/>
      <c r="UWO136" s="118"/>
      <c r="UWP136" s="118"/>
      <c r="UWQ136" s="118"/>
      <c r="UWR136" s="118"/>
      <c r="UWS136" s="118"/>
      <c r="UWT136" s="118"/>
      <c r="UWU136" s="118"/>
      <c r="UWV136" s="118"/>
      <c r="UWW136" s="118"/>
      <c r="UXB136" s="118"/>
      <c r="UXC136" s="118"/>
      <c r="UXD136" s="118"/>
      <c r="UXE136" s="118"/>
      <c r="UXF136" s="118"/>
      <c r="UXG136" s="118"/>
      <c r="UXH136" s="118"/>
      <c r="UXI136" s="118"/>
      <c r="UXJ136" s="118"/>
      <c r="UXK136" s="118"/>
      <c r="UXW136" s="82"/>
      <c r="UXZ136" s="69"/>
      <c r="UYD136" s="116"/>
      <c r="UYE136" s="116"/>
      <c r="UYF136" s="116"/>
      <c r="UYG136" s="116"/>
      <c r="UYH136" s="116"/>
      <c r="UYI136" s="116"/>
      <c r="UYJ136" s="116"/>
      <c r="UYK136" s="116"/>
      <c r="UYL136" s="116"/>
      <c r="UYM136" s="116"/>
      <c r="UYN136" s="116"/>
      <c r="UYO136" s="116"/>
      <c r="UYP136" s="116"/>
      <c r="UYQ136" s="116"/>
      <c r="UYR136" s="118"/>
      <c r="UYS136" s="118"/>
      <c r="UYT136" s="118"/>
      <c r="UYU136" s="118"/>
      <c r="UYV136" s="118"/>
      <c r="UYW136" s="118"/>
      <c r="UYX136" s="118"/>
      <c r="UYY136" s="118"/>
      <c r="UYZ136" s="118"/>
      <c r="UZA136" s="118"/>
      <c r="UZB136" s="118"/>
      <c r="UZC136" s="118"/>
      <c r="UZD136" s="118"/>
      <c r="UZE136" s="118"/>
      <c r="UZF136" s="118"/>
      <c r="UZK136" s="118"/>
      <c r="UZL136" s="118"/>
      <c r="UZM136" s="118"/>
      <c r="UZN136" s="118"/>
      <c r="UZO136" s="118"/>
      <c r="UZP136" s="118"/>
      <c r="UZQ136" s="118"/>
      <c r="UZR136" s="118"/>
      <c r="UZS136" s="118"/>
      <c r="UZT136" s="118"/>
      <c r="VAF136" s="82"/>
      <c r="VAI136" s="69"/>
      <c r="VAM136" s="116"/>
      <c r="VAN136" s="116"/>
      <c r="VAO136" s="116"/>
      <c r="VAP136" s="116"/>
      <c r="VAQ136" s="116"/>
      <c r="VAR136" s="116"/>
      <c r="VAS136" s="116"/>
      <c r="VAT136" s="116"/>
      <c r="VAU136" s="116"/>
      <c r="VAV136" s="116"/>
      <c r="VAW136" s="116"/>
      <c r="VAX136" s="116"/>
      <c r="VAY136" s="116"/>
      <c r="VAZ136" s="116"/>
      <c r="VBA136" s="118"/>
      <c r="VBB136" s="118"/>
      <c r="VBC136" s="118"/>
      <c r="VBD136" s="118"/>
      <c r="VBE136" s="118"/>
      <c r="VBF136" s="118"/>
      <c r="VBG136" s="118"/>
      <c r="VBH136" s="118"/>
      <c r="VBI136" s="118"/>
      <c r="VBJ136" s="118"/>
      <c r="VBK136" s="118"/>
      <c r="VBL136" s="118"/>
      <c r="VBM136" s="118"/>
      <c r="VBN136" s="118"/>
      <c r="VBO136" s="118"/>
      <c r="VBT136" s="118"/>
      <c r="VBU136" s="118"/>
      <c r="VBV136" s="118"/>
      <c r="VBW136" s="118"/>
      <c r="VBX136" s="118"/>
      <c r="VBY136" s="118"/>
      <c r="VBZ136" s="118"/>
      <c r="VCA136" s="118"/>
      <c r="VCB136" s="118"/>
      <c r="VCC136" s="118"/>
      <c r="VCO136" s="82"/>
      <c r="VCR136" s="69"/>
      <c r="VCV136" s="116"/>
      <c r="VCW136" s="116"/>
      <c r="VCX136" s="116"/>
      <c r="VCY136" s="116"/>
      <c r="VCZ136" s="116"/>
      <c r="VDA136" s="116"/>
      <c r="VDB136" s="116"/>
      <c r="VDC136" s="116"/>
      <c r="VDD136" s="116"/>
      <c r="VDE136" s="116"/>
      <c r="VDF136" s="116"/>
      <c r="VDG136" s="116"/>
      <c r="VDH136" s="116"/>
      <c r="VDI136" s="116"/>
      <c r="VDJ136" s="118"/>
      <c r="VDK136" s="118"/>
      <c r="VDL136" s="118"/>
      <c r="VDM136" s="118"/>
      <c r="VDN136" s="118"/>
      <c r="VDO136" s="118"/>
      <c r="VDP136" s="118"/>
      <c r="VDQ136" s="118"/>
      <c r="VDR136" s="118"/>
      <c r="VDS136" s="118"/>
      <c r="VDT136" s="118"/>
      <c r="VDU136" s="118"/>
      <c r="VDV136" s="118"/>
      <c r="VDW136" s="118"/>
      <c r="VDX136" s="118"/>
      <c r="VEC136" s="118"/>
      <c r="VED136" s="118"/>
      <c r="VEE136" s="118"/>
      <c r="VEF136" s="118"/>
      <c r="VEG136" s="118"/>
      <c r="VEH136" s="118"/>
      <c r="VEI136" s="118"/>
      <c r="VEJ136" s="118"/>
      <c r="VEK136" s="118"/>
      <c r="VEL136" s="118"/>
      <c r="VEX136" s="82"/>
      <c r="VFA136" s="69"/>
      <c r="VFE136" s="116"/>
      <c r="VFF136" s="116"/>
      <c r="VFG136" s="116"/>
      <c r="VFH136" s="116"/>
      <c r="VFI136" s="116"/>
      <c r="VFJ136" s="116"/>
      <c r="VFK136" s="116"/>
      <c r="VFL136" s="116"/>
      <c r="VFM136" s="116"/>
      <c r="VFN136" s="116"/>
      <c r="VFO136" s="116"/>
      <c r="VFP136" s="116"/>
      <c r="VFQ136" s="116"/>
      <c r="VFR136" s="116"/>
      <c r="VFS136" s="118"/>
      <c r="VFT136" s="118"/>
      <c r="VFU136" s="118"/>
      <c r="VFV136" s="118"/>
      <c r="VFW136" s="118"/>
      <c r="VFX136" s="118"/>
      <c r="VFY136" s="118"/>
      <c r="VFZ136" s="118"/>
      <c r="VGA136" s="118"/>
      <c r="VGB136" s="118"/>
      <c r="VGC136" s="118"/>
      <c r="VGD136" s="118"/>
      <c r="VGE136" s="118"/>
      <c r="VGF136" s="118"/>
      <c r="VGG136" s="118"/>
      <c r="VGL136" s="118"/>
      <c r="VGM136" s="118"/>
      <c r="VGN136" s="118"/>
      <c r="VGO136" s="118"/>
      <c r="VGP136" s="118"/>
      <c r="VGQ136" s="118"/>
      <c r="VGR136" s="118"/>
      <c r="VGS136" s="118"/>
      <c r="VGT136" s="118"/>
      <c r="VGU136" s="118"/>
      <c r="VHG136" s="82"/>
      <c r="VHJ136" s="69"/>
      <c r="VHN136" s="116"/>
      <c r="VHO136" s="116"/>
      <c r="VHP136" s="116"/>
      <c r="VHQ136" s="116"/>
      <c r="VHR136" s="116"/>
      <c r="VHS136" s="116"/>
      <c r="VHT136" s="116"/>
      <c r="VHU136" s="116"/>
      <c r="VHV136" s="116"/>
      <c r="VHW136" s="116"/>
      <c r="VHX136" s="116"/>
      <c r="VHY136" s="116"/>
      <c r="VHZ136" s="116"/>
      <c r="VIA136" s="116"/>
      <c r="VIB136" s="118"/>
      <c r="VIC136" s="118"/>
      <c r="VID136" s="118"/>
      <c r="VIE136" s="118"/>
      <c r="VIF136" s="118"/>
      <c r="VIG136" s="118"/>
      <c r="VIH136" s="118"/>
      <c r="VII136" s="118"/>
      <c r="VIJ136" s="118"/>
      <c r="VIK136" s="118"/>
      <c r="VIL136" s="118"/>
      <c r="VIM136" s="118"/>
      <c r="VIN136" s="118"/>
      <c r="VIO136" s="118"/>
      <c r="VIP136" s="118"/>
      <c r="VIU136" s="118"/>
      <c r="VIV136" s="118"/>
      <c r="VIW136" s="118"/>
      <c r="VIX136" s="118"/>
      <c r="VIY136" s="118"/>
      <c r="VIZ136" s="118"/>
      <c r="VJA136" s="118"/>
      <c r="VJB136" s="118"/>
      <c r="VJC136" s="118"/>
      <c r="VJD136" s="118"/>
      <c r="VJP136" s="82"/>
      <c r="VJS136" s="69"/>
      <c r="VJW136" s="116"/>
      <c r="VJX136" s="116"/>
      <c r="VJY136" s="116"/>
      <c r="VJZ136" s="116"/>
      <c r="VKA136" s="116"/>
      <c r="VKB136" s="116"/>
      <c r="VKC136" s="116"/>
      <c r="VKD136" s="116"/>
      <c r="VKE136" s="116"/>
      <c r="VKF136" s="116"/>
      <c r="VKG136" s="116"/>
      <c r="VKH136" s="116"/>
      <c r="VKI136" s="116"/>
      <c r="VKJ136" s="116"/>
      <c r="VKK136" s="118"/>
      <c r="VKL136" s="118"/>
      <c r="VKM136" s="118"/>
      <c r="VKN136" s="118"/>
      <c r="VKO136" s="118"/>
      <c r="VKP136" s="118"/>
      <c r="VKQ136" s="118"/>
      <c r="VKR136" s="118"/>
      <c r="VKS136" s="118"/>
      <c r="VKT136" s="118"/>
      <c r="VKU136" s="118"/>
      <c r="VKV136" s="118"/>
      <c r="VKW136" s="118"/>
      <c r="VKX136" s="118"/>
      <c r="VKY136" s="118"/>
      <c r="VLD136" s="118"/>
      <c r="VLE136" s="118"/>
      <c r="VLF136" s="118"/>
      <c r="VLG136" s="118"/>
      <c r="VLH136" s="118"/>
      <c r="VLI136" s="118"/>
      <c r="VLJ136" s="118"/>
      <c r="VLK136" s="118"/>
      <c r="VLL136" s="118"/>
      <c r="VLM136" s="118"/>
      <c r="VLY136" s="82"/>
      <c r="VMB136" s="69"/>
      <c r="VMF136" s="116"/>
      <c r="VMG136" s="116"/>
      <c r="VMH136" s="116"/>
      <c r="VMI136" s="116"/>
      <c r="VMJ136" s="116"/>
      <c r="VMK136" s="116"/>
      <c r="VML136" s="116"/>
      <c r="VMM136" s="116"/>
      <c r="VMN136" s="116"/>
      <c r="VMO136" s="116"/>
      <c r="VMP136" s="116"/>
      <c r="VMQ136" s="116"/>
      <c r="VMR136" s="116"/>
      <c r="VMS136" s="116"/>
      <c r="VMT136" s="118"/>
      <c r="VMU136" s="118"/>
      <c r="VMV136" s="118"/>
      <c r="VMW136" s="118"/>
      <c r="VMX136" s="118"/>
      <c r="VMY136" s="118"/>
      <c r="VMZ136" s="118"/>
      <c r="VNA136" s="118"/>
      <c r="VNB136" s="118"/>
      <c r="VNC136" s="118"/>
      <c r="VND136" s="118"/>
      <c r="VNE136" s="118"/>
      <c r="VNF136" s="118"/>
      <c r="VNG136" s="118"/>
      <c r="VNH136" s="118"/>
      <c r="VNM136" s="118"/>
      <c r="VNN136" s="118"/>
      <c r="VNO136" s="118"/>
      <c r="VNP136" s="118"/>
      <c r="VNQ136" s="118"/>
      <c r="VNR136" s="118"/>
      <c r="VNS136" s="118"/>
      <c r="VNT136" s="118"/>
      <c r="VNU136" s="118"/>
      <c r="VNV136" s="118"/>
      <c r="VOH136" s="82"/>
      <c r="VOK136" s="69"/>
      <c r="VOO136" s="116"/>
      <c r="VOP136" s="116"/>
      <c r="VOQ136" s="116"/>
      <c r="VOR136" s="116"/>
      <c r="VOS136" s="116"/>
      <c r="VOT136" s="116"/>
      <c r="VOU136" s="116"/>
      <c r="VOV136" s="116"/>
      <c r="VOW136" s="116"/>
      <c r="VOX136" s="116"/>
      <c r="VOY136" s="116"/>
      <c r="VOZ136" s="116"/>
      <c r="VPA136" s="116"/>
      <c r="VPB136" s="116"/>
      <c r="VPC136" s="118"/>
      <c r="VPD136" s="118"/>
      <c r="VPE136" s="118"/>
      <c r="VPF136" s="118"/>
      <c r="VPG136" s="118"/>
      <c r="VPH136" s="118"/>
      <c r="VPI136" s="118"/>
      <c r="VPJ136" s="118"/>
      <c r="VPK136" s="118"/>
      <c r="VPL136" s="118"/>
      <c r="VPM136" s="118"/>
      <c r="VPN136" s="118"/>
      <c r="VPO136" s="118"/>
      <c r="VPP136" s="118"/>
      <c r="VPQ136" s="118"/>
      <c r="VPV136" s="118"/>
      <c r="VPW136" s="118"/>
      <c r="VPX136" s="118"/>
      <c r="VPY136" s="118"/>
      <c r="VPZ136" s="118"/>
      <c r="VQA136" s="118"/>
      <c r="VQB136" s="118"/>
      <c r="VQC136" s="118"/>
      <c r="VQD136" s="118"/>
      <c r="VQE136" s="118"/>
      <c r="VQQ136" s="82"/>
      <c r="VQT136" s="69"/>
      <c r="VQX136" s="116"/>
      <c r="VQY136" s="116"/>
      <c r="VQZ136" s="116"/>
      <c r="VRA136" s="116"/>
      <c r="VRB136" s="116"/>
      <c r="VRC136" s="116"/>
      <c r="VRD136" s="116"/>
      <c r="VRE136" s="116"/>
      <c r="VRF136" s="116"/>
      <c r="VRG136" s="116"/>
      <c r="VRH136" s="116"/>
      <c r="VRI136" s="116"/>
      <c r="VRJ136" s="116"/>
      <c r="VRK136" s="116"/>
      <c r="VRL136" s="118"/>
      <c r="VRM136" s="118"/>
      <c r="VRN136" s="118"/>
      <c r="VRO136" s="118"/>
      <c r="VRP136" s="118"/>
      <c r="VRQ136" s="118"/>
      <c r="VRR136" s="118"/>
      <c r="VRS136" s="118"/>
      <c r="VRT136" s="118"/>
      <c r="VRU136" s="118"/>
      <c r="VRV136" s="118"/>
      <c r="VRW136" s="118"/>
      <c r="VRX136" s="118"/>
      <c r="VRY136" s="118"/>
      <c r="VRZ136" s="118"/>
      <c r="VSE136" s="118"/>
      <c r="VSF136" s="118"/>
      <c r="VSG136" s="118"/>
      <c r="VSH136" s="118"/>
      <c r="VSI136" s="118"/>
      <c r="VSJ136" s="118"/>
      <c r="VSK136" s="118"/>
      <c r="VSL136" s="118"/>
      <c r="VSM136" s="118"/>
      <c r="VSN136" s="118"/>
      <c r="VSZ136" s="82"/>
      <c r="VTC136" s="69"/>
      <c r="VTG136" s="116"/>
      <c r="VTH136" s="116"/>
      <c r="VTI136" s="116"/>
      <c r="VTJ136" s="116"/>
      <c r="VTK136" s="116"/>
      <c r="VTL136" s="116"/>
      <c r="VTM136" s="116"/>
      <c r="VTN136" s="116"/>
      <c r="VTO136" s="116"/>
      <c r="VTP136" s="116"/>
      <c r="VTQ136" s="116"/>
      <c r="VTR136" s="116"/>
      <c r="VTS136" s="116"/>
      <c r="VTT136" s="116"/>
      <c r="VTU136" s="118"/>
      <c r="VTV136" s="118"/>
      <c r="VTW136" s="118"/>
      <c r="VTX136" s="118"/>
      <c r="VTY136" s="118"/>
      <c r="VTZ136" s="118"/>
      <c r="VUA136" s="118"/>
      <c r="VUB136" s="118"/>
      <c r="VUC136" s="118"/>
      <c r="VUD136" s="118"/>
      <c r="VUE136" s="118"/>
      <c r="VUF136" s="118"/>
      <c r="VUG136" s="118"/>
      <c r="VUH136" s="118"/>
      <c r="VUI136" s="118"/>
      <c r="VUN136" s="118"/>
      <c r="VUO136" s="118"/>
      <c r="VUP136" s="118"/>
      <c r="VUQ136" s="118"/>
      <c r="VUR136" s="118"/>
      <c r="VUS136" s="118"/>
      <c r="VUT136" s="118"/>
      <c r="VUU136" s="118"/>
      <c r="VUV136" s="118"/>
      <c r="VUW136" s="118"/>
      <c r="VVI136" s="82"/>
      <c r="VVL136" s="69"/>
      <c r="VVP136" s="116"/>
      <c r="VVQ136" s="116"/>
      <c r="VVR136" s="116"/>
      <c r="VVS136" s="116"/>
      <c r="VVT136" s="116"/>
      <c r="VVU136" s="116"/>
      <c r="VVV136" s="116"/>
      <c r="VVW136" s="116"/>
      <c r="VVX136" s="116"/>
      <c r="VVY136" s="116"/>
      <c r="VVZ136" s="116"/>
      <c r="VWA136" s="116"/>
      <c r="VWB136" s="116"/>
      <c r="VWC136" s="116"/>
      <c r="VWD136" s="118"/>
      <c r="VWE136" s="118"/>
      <c r="VWF136" s="118"/>
      <c r="VWG136" s="118"/>
      <c r="VWH136" s="118"/>
      <c r="VWI136" s="118"/>
      <c r="VWJ136" s="118"/>
      <c r="VWK136" s="118"/>
      <c r="VWL136" s="118"/>
      <c r="VWM136" s="118"/>
      <c r="VWN136" s="118"/>
      <c r="VWO136" s="118"/>
      <c r="VWP136" s="118"/>
      <c r="VWQ136" s="118"/>
      <c r="VWR136" s="118"/>
      <c r="VWW136" s="118"/>
      <c r="VWX136" s="118"/>
      <c r="VWY136" s="118"/>
      <c r="VWZ136" s="118"/>
      <c r="VXA136" s="118"/>
      <c r="VXB136" s="118"/>
      <c r="VXC136" s="118"/>
      <c r="VXD136" s="118"/>
      <c r="VXE136" s="118"/>
      <c r="VXF136" s="118"/>
      <c r="VXR136" s="82"/>
      <c r="VXU136" s="69"/>
      <c r="VXY136" s="116"/>
      <c r="VXZ136" s="116"/>
      <c r="VYA136" s="116"/>
      <c r="VYB136" s="116"/>
      <c r="VYC136" s="116"/>
      <c r="VYD136" s="116"/>
      <c r="VYE136" s="116"/>
      <c r="VYF136" s="116"/>
      <c r="VYG136" s="116"/>
      <c r="VYH136" s="116"/>
      <c r="VYI136" s="116"/>
      <c r="VYJ136" s="116"/>
      <c r="VYK136" s="116"/>
      <c r="VYL136" s="116"/>
      <c r="VYM136" s="118"/>
      <c r="VYN136" s="118"/>
      <c r="VYO136" s="118"/>
      <c r="VYP136" s="118"/>
      <c r="VYQ136" s="118"/>
      <c r="VYR136" s="118"/>
      <c r="VYS136" s="118"/>
      <c r="VYT136" s="118"/>
      <c r="VYU136" s="118"/>
      <c r="VYV136" s="118"/>
      <c r="VYW136" s="118"/>
      <c r="VYX136" s="118"/>
      <c r="VYY136" s="118"/>
      <c r="VYZ136" s="118"/>
      <c r="VZA136" s="118"/>
      <c r="VZF136" s="118"/>
      <c r="VZG136" s="118"/>
      <c r="VZH136" s="118"/>
      <c r="VZI136" s="118"/>
      <c r="VZJ136" s="118"/>
      <c r="VZK136" s="118"/>
      <c r="VZL136" s="118"/>
      <c r="VZM136" s="118"/>
      <c r="VZN136" s="118"/>
      <c r="VZO136" s="118"/>
      <c r="WAA136" s="82"/>
      <c r="WAD136" s="69"/>
      <c r="WAH136" s="116"/>
      <c r="WAI136" s="116"/>
      <c r="WAJ136" s="116"/>
      <c r="WAK136" s="116"/>
      <c r="WAL136" s="116"/>
      <c r="WAM136" s="116"/>
      <c r="WAN136" s="116"/>
      <c r="WAO136" s="116"/>
      <c r="WAP136" s="116"/>
      <c r="WAQ136" s="116"/>
      <c r="WAR136" s="116"/>
      <c r="WAS136" s="116"/>
      <c r="WAT136" s="116"/>
      <c r="WAU136" s="116"/>
      <c r="WAV136" s="118"/>
      <c r="WAW136" s="118"/>
      <c r="WAX136" s="118"/>
      <c r="WAY136" s="118"/>
      <c r="WAZ136" s="118"/>
      <c r="WBA136" s="118"/>
      <c r="WBB136" s="118"/>
      <c r="WBC136" s="118"/>
      <c r="WBD136" s="118"/>
      <c r="WBE136" s="118"/>
      <c r="WBF136" s="118"/>
      <c r="WBG136" s="118"/>
      <c r="WBH136" s="118"/>
      <c r="WBI136" s="118"/>
      <c r="WBJ136" s="118"/>
      <c r="WBO136" s="118"/>
      <c r="WBP136" s="118"/>
      <c r="WBQ136" s="118"/>
      <c r="WBR136" s="118"/>
      <c r="WBS136" s="118"/>
      <c r="WBT136" s="118"/>
      <c r="WBU136" s="118"/>
      <c r="WBV136" s="118"/>
      <c r="WBW136" s="118"/>
      <c r="WBX136" s="118"/>
      <c r="WCJ136" s="82"/>
      <c r="WCM136" s="69"/>
      <c r="WCQ136" s="116"/>
      <c r="WCR136" s="116"/>
      <c r="WCS136" s="116"/>
      <c r="WCT136" s="116"/>
      <c r="WCU136" s="116"/>
      <c r="WCV136" s="116"/>
      <c r="WCW136" s="116"/>
      <c r="WCX136" s="116"/>
      <c r="WCY136" s="116"/>
      <c r="WCZ136" s="116"/>
      <c r="WDA136" s="116"/>
      <c r="WDB136" s="116"/>
      <c r="WDC136" s="116"/>
      <c r="WDD136" s="116"/>
      <c r="WDE136" s="118"/>
      <c r="WDF136" s="118"/>
      <c r="WDG136" s="118"/>
      <c r="WDH136" s="118"/>
      <c r="WDI136" s="118"/>
      <c r="WDJ136" s="118"/>
      <c r="WDK136" s="118"/>
      <c r="WDL136" s="118"/>
      <c r="WDM136" s="118"/>
      <c r="WDN136" s="118"/>
      <c r="WDO136" s="118"/>
      <c r="WDP136" s="118"/>
      <c r="WDQ136" s="118"/>
      <c r="WDR136" s="118"/>
      <c r="WDS136" s="118"/>
      <c r="WDX136" s="118"/>
      <c r="WDY136" s="118"/>
      <c r="WDZ136" s="118"/>
      <c r="WEA136" s="118"/>
      <c r="WEB136" s="118"/>
      <c r="WEC136" s="118"/>
      <c r="WED136" s="118"/>
      <c r="WEE136" s="118"/>
      <c r="WEF136" s="118"/>
      <c r="WEG136" s="118"/>
      <c r="WES136" s="82"/>
      <c r="WEV136" s="69"/>
      <c r="WEZ136" s="116"/>
      <c r="WFA136" s="116"/>
      <c r="WFB136" s="116"/>
      <c r="WFC136" s="116"/>
      <c r="WFD136" s="116"/>
      <c r="WFE136" s="116"/>
      <c r="WFF136" s="116"/>
      <c r="WFG136" s="116"/>
      <c r="WFH136" s="116"/>
      <c r="WFI136" s="116"/>
      <c r="WFJ136" s="116"/>
      <c r="WFK136" s="116"/>
      <c r="WFL136" s="116"/>
      <c r="WFM136" s="116"/>
      <c r="WFN136" s="118"/>
      <c r="WFO136" s="118"/>
      <c r="WFP136" s="118"/>
      <c r="WFQ136" s="118"/>
      <c r="WFR136" s="118"/>
      <c r="WFS136" s="118"/>
      <c r="WFT136" s="118"/>
      <c r="WFU136" s="118"/>
      <c r="WFV136" s="118"/>
      <c r="WFW136" s="118"/>
      <c r="WFX136" s="118"/>
      <c r="WFY136" s="118"/>
      <c r="WFZ136" s="118"/>
      <c r="WGA136" s="118"/>
      <c r="WGB136" s="118"/>
      <c r="WGG136" s="118"/>
      <c r="WGH136" s="118"/>
      <c r="WGI136" s="118"/>
      <c r="WGJ136" s="118"/>
      <c r="WGK136" s="118"/>
      <c r="WGL136" s="118"/>
      <c r="WGM136" s="118"/>
      <c r="WGN136" s="118"/>
      <c r="WGO136" s="118"/>
      <c r="WGP136" s="118"/>
      <c r="WHB136" s="82"/>
      <c r="WHE136" s="69"/>
      <c r="WHI136" s="116"/>
      <c r="WHJ136" s="116"/>
      <c r="WHK136" s="116"/>
      <c r="WHL136" s="116"/>
      <c r="WHM136" s="116"/>
      <c r="WHN136" s="116"/>
      <c r="WHO136" s="116"/>
      <c r="WHP136" s="116"/>
      <c r="WHQ136" s="116"/>
      <c r="WHR136" s="116"/>
      <c r="WHS136" s="116"/>
      <c r="WHT136" s="116"/>
      <c r="WHU136" s="116"/>
      <c r="WHV136" s="116"/>
      <c r="WHW136" s="118"/>
      <c r="WHX136" s="118"/>
      <c r="WHY136" s="118"/>
      <c r="WHZ136" s="118"/>
      <c r="WIA136" s="118"/>
      <c r="WIB136" s="118"/>
      <c r="WIC136" s="118"/>
      <c r="WID136" s="118"/>
      <c r="WIE136" s="118"/>
      <c r="WIF136" s="118"/>
      <c r="WIG136" s="118"/>
      <c r="WIH136" s="118"/>
      <c r="WII136" s="118"/>
      <c r="WIJ136" s="118"/>
      <c r="WIK136" s="118"/>
      <c r="WIP136" s="118"/>
      <c r="WIQ136" s="118"/>
      <c r="WIR136" s="118"/>
      <c r="WIS136" s="118"/>
      <c r="WIT136" s="118"/>
      <c r="WIU136" s="118"/>
      <c r="WIV136" s="118"/>
      <c r="WIW136" s="118"/>
      <c r="WIX136" s="118"/>
      <c r="WIY136" s="118"/>
      <c r="WJK136" s="82"/>
      <c r="WJN136" s="69"/>
      <c r="WJR136" s="116"/>
      <c r="WJS136" s="116"/>
      <c r="WJT136" s="116"/>
      <c r="WJU136" s="116"/>
      <c r="WJV136" s="116"/>
      <c r="WJW136" s="116"/>
      <c r="WJX136" s="116"/>
      <c r="WJY136" s="116"/>
      <c r="WJZ136" s="116"/>
      <c r="WKA136" s="116"/>
      <c r="WKB136" s="116"/>
      <c r="WKC136" s="116"/>
      <c r="WKD136" s="116"/>
      <c r="WKE136" s="116"/>
      <c r="WKF136" s="118"/>
      <c r="WKG136" s="118"/>
      <c r="WKH136" s="118"/>
      <c r="WKI136" s="118"/>
      <c r="WKJ136" s="118"/>
      <c r="WKK136" s="118"/>
      <c r="WKL136" s="118"/>
      <c r="WKM136" s="118"/>
      <c r="WKN136" s="118"/>
      <c r="WKO136" s="118"/>
      <c r="WKP136" s="118"/>
      <c r="WKQ136" s="118"/>
      <c r="WKR136" s="118"/>
      <c r="WKS136" s="118"/>
      <c r="WKT136" s="118"/>
      <c r="WKY136" s="118"/>
      <c r="WKZ136" s="118"/>
      <c r="WLA136" s="118"/>
      <c r="WLB136" s="118"/>
      <c r="WLC136" s="118"/>
      <c r="WLD136" s="118"/>
      <c r="WLE136" s="118"/>
      <c r="WLF136" s="118"/>
      <c r="WLG136" s="118"/>
      <c r="WLH136" s="118"/>
      <c r="WLT136" s="82"/>
      <c r="WLW136" s="69"/>
      <c r="WMA136" s="116"/>
      <c r="WMB136" s="116"/>
      <c r="WMC136" s="116"/>
      <c r="WMD136" s="116"/>
      <c r="WME136" s="116"/>
      <c r="WMF136" s="116"/>
      <c r="WMG136" s="116"/>
      <c r="WMH136" s="116"/>
      <c r="WMI136" s="116"/>
      <c r="WMJ136" s="116"/>
      <c r="WMK136" s="116"/>
      <c r="WML136" s="116"/>
      <c r="WMM136" s="116"/>
      <c r="WMN136" s="116"/>
      <c r="WMO136" s="118"/>
      <c r="WMP136" s="118"/>
      <c r="WMQ136" s="118"/>
      <c r="WMR136" s="118"/>
      <c r="WMS136" s="118"/>
      <c r="WMT136" s="118"/>
      <c r="WMU136" s="118"/>
      <c r="WMV136" s="118"/>
      <c r="WMW136" s="118"/>
      <c r="WMX136" s="118"/>
      <c r="WMY136" s="118"/>
      <c r="WMZ136" s="118"/>
      <c r="WNA136" s="118"/>
      <c r="WNB136" s="118"/>
      <c r="WNC136" s="118"/>
      <c r="WNH136" s="118"/>
      <c r="WNI136" s="118"/>
      <c r="WNJ136" s="118"/>
      <c r="WNK136" s="118"/>
      <c r="WNL136" s="118"/>
      <c r="WNM136" s="118"/>
      <c r="WNN136" s="118"/>
      <c r="WNO136" s="118"/>
      <c r="WNP136" s="118"/>
      <c r="WNQ136" s="118"/>
      <c r="WOC136" s="82"/>
      <c r="WOF136" s="69"/>
      <c r="WOJ136" s="116"/>
      <c r="WOK136" s="116"/>
      <c r="WOL136" s="116"/>
      <c r="WOM136" s="116"/>
      <c r="WON136" s="116"/>
      <c r="WOO136" s="116"/>
      <c r="WOP136" s="116"/>
      <c r="WOQ136" s="116"/>
      <c r="WOR136" s="116"/>
      <c r="WOS136" s="116"/>
      <c r="WOT136" s="116"/>
      <c r="WOU136" s="116"/>
      <c r="WOV136" s="116"/>
      <c r="WOW136" s="116"/>
      <c r="WOX136" s="118"/>
      <c r="WOY136" s="118"/>
      <c r="WOZ136" s="118"/>
      <c r="WPA136" s="118"/>
      <c r="WPB136" s="118"/>
      <c r="WPC136" s="118"/>
      <c r="WPD136" s="118"/>
      <c r="WPE136" s="118"/>
      <c r="WPF136" s="118"/>
      <c r="WPG136" s="118"/>
      <c r="WPH136" s="118"/>
      <c r="WPI136" s="118"/>
      <c r="WPJ136" s="118"/>
      <c r="WPK136" s="118"/>
      <c r="WPL136" s="118"/>
      <c r="WPQ136" s="118"/>
      <c r="WPR136" s="118"/>
      <c r="WPS136" s="118"/>
      <c r="WPT136" s="118"/>
      <c r="WPU136" s="118"/>
      <c r="WPV136" s="118"/>
      <c r="WPW136" s="118"/>
      <c r="WPX136" s="118"/>
      <c r="WPY136" s="118"/>
      <c r="WPZ136" s="118"/>
      <c r="WQL136" s="82"/>
      <c r="WQO136" s="69"/>
      <c r="WQS136" s="116"/>
      <c r="WQT136" s="116"/>
      <c r="WQU136" s="116"/>
      <c r="WQV136" s="116"/>
      <c r="WQW136" s="116"/>
      <c r="WQX136" s="116"/>
      <c r="WQY136" s="116"/>
      <c r="WQZ136" s="116"/>
      <c r="WRA136" s="116"/>
      <c r="WRB136" s="116"/>
      <c r="WRC136" s="116"/>
      <c r="WRD136" s="116"/>
      <c r="WRE136" s="116"/>
      <c r="WRF136" s="116"/>
      <c r="WRG136" s="118"/>
      <c r="WRH136" s="118"/>
      <c r="WRI136" s="118"/>
      <c r="WRJ136" s="118"/>
      <c r="WRK136" s="118"/>
      <c r="WRL136" s="118"/>
      <c r="WRM136" s="118"/>
      <c r="WRN136" s="118"/>
      <c r="WRO136" s="118"/>
      <c r="WRP136" s="118"/>
      <c r="WRQ136" s="118"/>
      <c r="WRR136" s="118"/>
      <c r="WRS136" s="118"/>
      <c r="WRT136" s="118"/>
      <c r="WRU136" s="118"/>
      <c r="WRZ136" s="118"/>
      <c r="WSA136" s="118"/>
      <c r="WSB136" s="118"/>
      <c r="WSC136" s="118"/>
      <c r="WSD136" s="118"/>
      <c r="WSE136" s="118"/>
      <c r="WSF136" s="118"/>
      <c r="WSG136" s="118"/>
      <c r="WSH136" s="118"/>
      <c r="WSI136" s="118"/>
      <c r="WSU136" s="82"/>
      <c r="WSX136" s="69"/>
      <c r="WTB136" s="116"/>
      <c r="WTC136" s="116"/>
      <c r="WTD136" s="116"/>
      <c r="WTE136" s="116"/>
      <c r="WTF136" s="116"/>
      <c r="WTG136" s="116"/>
      <c r="WTH136" s="116"/>
      <c r="WTI136" s="116"/>
      <c r="WTJ136" s="116"/>
      <c r="WTK136" s="116"/>
      <c r="WTL136" s="116"/>
      <c r="WTM136" s="116"/>
      <c r="WTN136" s="116"/>
      <c r="WTO136" s="116"/>
      <c r="WTP136" s="118"/>
      <c r="WTQ136" s="118"/>
      <c r="WTR136" s="118"/>
      <c r="WTS136" s="118"/>
      <c r="WTT136" s="118"/>
      <c r="WTU136" s="118"/>
      <c r="WTV136" s="118"/>
      <c r="WTW136" s="118"/>
      <c r="WTX136" s="118"/>
      <c r="WTY136" s="118"/>
      <c r="WTZ136" s="118"/>
      <c r="WUA136" s="118"/>
      <c r="WUB136" s="118"/>
      <c r="WUC136" s="118"/>
      <c r="WUD136" s="118"/>
      <c r="WUI136" s="118"/>
      <c r="WUJ136" s="118"/>
      <c r="WUK136" s="118"/>
      <c r="WUL136" s="118"/>
      <c r="WUM136" s="118"/>
      <c r="WUN136" s="118"/>
      <c r="WUO136" s="118"/>
      <c r="WUP136" s="118"/>
      <c r="WUQ136" s="118"/>
      <c r="WUR136" s="118"/>
      <c r="WVD136" s="82"/>
      <c r="WVG136" s="69"/>
      <c r="WVK136" s="116"/>
      <c r="WVL136" s="116"/>
      <c r="WVM136" s="116"/>
      <c r="WVN136" s="116"/>
      <c r="WVO136" s="116"/>
      <c r="WVP136" s="116"/>
      <c r="WVQ136" s="116"/>
      <c r="WVR136" s="116"/>
      <c r="WVS136" s="116"/>
      <c r="WVT136" s="116"/>
      <c r="WVU136" s="116"/>
      <c r="WVV136" s="116"/>
      <c r="WVW136" s="116"/>
      <c r="WVX136" s="116"/>
      <c r="WVY136" s="118"/>
      <c r="WVZ136" s="118"/>
      <c r="WWA136" s="118"/>
      <c r="WWB136" s="118"/>
      <c r="WWC136" s="118"/>
      <c r="WWD136" s="118"/>
      <c r="WWE136" s="118"/>
      <c r="WWF136" s="118"/>
      <c r="WWG136" s="118"/>
      <c r="WWH136" s="118"/>
      <c r="WWI136" s="118"/>
      <c r="WWJ136" s="118"/>
      <c r="WWK136" s="118"/>
      <c r="WWL136" s="118"/>
      <c r="WWM136" s="118"/>
      <c r="WWR136" s="118"/>
      <c r="WWS136" s="118"/>
      <c r="WWT136" s="118"/>
      <c r="WWU136" s="118"/>
      <c r="WWV136" s="118"/>
      <c r="WWW136" s="118"/>
      <c r="WWX136" s="118"/>
      <c r="WWY136" s="118"/>
      <c r="WWZ136" s="118"/>
      <c r="WXA136" s="118"/>
      <c r="WXM136" s="82"/>
      <c r="WXP136" s="69"/>
      <c r="WXT136" s="116"/>
      <c r="WXU136" s="116"/>
      <c r="WXV136" s="116"/>
      <c r="WXW136" s="116"/>
      <c r="WXX136" s="116"/>
      <c r="WXY136" s="116"/>
      <c r="WXZ136" s="116"/>
      <c r="WYA136" s="116"/>
      <c r="WYB136" s="116"/>
      <c r="WYC136" s="116"/>
      <c r="WYD136" s="116"/>
      <c r="WYE136" s="116"/>
      <c r="WYF136" s="116"/>
      <c r="WYG136" s="116"/>
      <c r="WYH136" s="118"/>
      <c r="WYI136" s="118"/>
      <c r="WYJ136" s="118"/>
      <c r="WYK136" s="118"/>
      <c r="WYL136" s="118"/>
      <c r="WYM136" s="118"/>
      <c r="WYN136" s="118"/>
      <c r="WYO136" s="118"/>
      <c r="WYP136" s="118"/>
      <c r="WYQ136" s="118"/>
      <c r="WYR136" s="118"/>
      <c r="WYS136" s="118"/>
      <c r="WYT136" s="118"/>
      <c r="WYU136" s="118"/>
      <c r="WYV136" s="118"/>
      <c r="WZA136" s="118"/>
      <c r="WZB136" s="118"/>
      <c r="WZC136" s="118"/>
      <c r="WZD136" s="118"/>
      <c r="WZE136" s="118"/>
      <c r="WZF136" s="118"/>
      <c r="WZG136" s="118"/>
      <c r="WZH136" s="118"/>
      <c r="WZI136" s="118"/>
      <c r="WZJ136" s="118"/>
      <c r="WZV136" s="82"/>
      <c r="WZY136" s="69"/>
      <c r="XAC136" s="116"/>
      <c r="XAD136" s="116"/>
      <c r="XAE136" s="116"/>
      <c r="XAF136" s="116"/>
      <c r="XAG136" s="116"/>
      <c r="XAH136" s="116"/>
      <c r="XAI136" s="116"/>
      <c r="XAJ136" s="116"/>
      <c r="XAK136" s="116"/>
      <c r="XAL136" s="116"/>
      <c r="XAM136" s="116"/>
      <c r="XAN136" s="116"/>
      <c r="XAO136" s="116"/>
      <c r="XAP136" s="116"/>
      <c r="XAQ136" s="118"/>
      <c r="XAR136" s="118"/>
      <c r="XAS136" s="118"/>
      <c r="XAT136" s="118"/>
      <c r="XAU136" s="118"/>
      <c r="XAV136" s="118"/>
      <c r="XAW136" s="118"/>
      <c r="XAX136" s="118"/>
      <c r="XAY136" s="118"/>
      <c r="XAZ136" s="118"/>
      <c r="XBA136" s="118"/>
      <c r="XBB136" s="118"/>
      <c r="XBC136" s="118"/>
      <c r="XBD136" s="118"/>
      <c r="XBE136" s="118"/>
      <c r="XBJ136" s="118"/>
      <c r="XBK136" s="118"/>
      <c r="XBL136" s="118"/>
      <c r="XBM136" s="118"/>
      <c r="XBN136" s="118"/>
      <c r="XBO136" s="118"/>
      <c r="XBP136" s="118"/>
      <c r="XBQ136" s="118"/>
      <c r="XBR136" s="118"/>
      <c r="XBS136" s="118"/>
      <c r="XCE136" s="82"/>
      <c r="XCH136" s="69"/>
      <c r="XCL136" s="116"/>
      <c r="XCM136" s="116"/>
      <c r="XCN136" s="116"/>
      <c r="XCO136" s="116"/>
      <c r="XCP136" s="116"/>
      <c r="XCQ136" s="116"/>
      <c r="XCR136" s="116"/>
      <c r="XCS136" s="116"/>
      <c r="XCT136" s="116"/>
      <c r="XCU136" s="116"/>
      <c r="XCV136" s="116"/>
      <c r="XCW136" s="116"/>
      <c r="XCX136" s="116"/>
      <c r="XCY136" s="116"/>
      <c r="XCZ136" s="118"/>
      <c r="XDA136" s="118"/>
      <c r="XDB136" s="118"/>
      <c r="XDC136" s="118"/>
      <c r="XDD136" s="118"/>
      <c r="XDE136" s="118"/>
      <c r="XDF136" s="118"/>
      <c r="XDG136" s="118"/>
      <c r="XDH136" s="118"/>
      <c r="XDI136" s="118"/>
      <c r="XDJ136" s="118"/>
      <c r="XDK136" s="118"/>
      <c r="XDL136" s="118"/>
      <c r="XDM136" s="118"/>
      <c r="XDN136" s="118"/>
      <c r="XDS136" s="118"/>
      <c r="XDT136" s="118"/>
      <c r="XDU136" s="118"/>
      <c r="XDV136" s="118"/>
      <c r="XDW136" s="118"/>
      <c r="XDX136" s="118"/>
      <c r="XDY136" s="118"/>
      <c r="XDZ136" s="118"/>
      <c r="XEA136" s="118"/>
      <c r="XEB136" s="118"/>
      <c r="XEN136" s="82"/>
      <c r="XEQ136" s="69"/>
      <c r="XEU136" s="116"/>
      <c r="XEV136" s="116"/>
      <c r="XEW136" s="116"/>
      <c r="XEX136" s="116"/>
      <c r="XEY136" s="116"/>
      <c r="XEZ136" s="116"/>
      <c r="XFA136" s="116"/>
      <c r="XFB136" s="116"/>
      <c r="XFC136" s="116"/>
      <c r="XFD136" s="116"/>
    </row>
  </sheetData>
  <mergeCells count="12">
    <mergeCell ref="A1:D1"/>
    <mergeCell ref="BU134:CB134"/>
    <mergeCell ref="AL134:AO134"/>
    <mergeCell ref="AP134:AT134"/>
    <mergeCell ref="AU134:BO134"/>
    <mergeCell ref="BP134:BQ134"/>
    <mergeCell ref="A134:H134"/>
    <mergeCell ref="I134:M134"/>
    <mergeCell ref="N134:Q134"/>
    <mergeCell ref="R134:U134"/>
    <mergeCell ref="W134:AK134"/>
    <mergeCell ref="BS134:BT134"/>
  </mergeCells>
  <phoneticPr fontId="2" type="noConversion"/>
  <conditionalFormatting sqref="E25">
    <cfRule type="cellIs" dxfId="7" priority="1" operator="notEqual">
      <formula>1</formula>
    </cfRule>
  </conditionalFormatting>
  <conditionalFormatting sqref="E32">
    <cfRule type="cellIs" dxfId="6" priority="3" operator="notEqual">
      <formula>1</formula>
    </cfRule>
  </conditionalFormatting>
  <conditionalFormatting sqref="E39">
    <cfRule type="cellIs" dxfId="5" priority="2" operator="notEqual">
      <formula>1</formula>
    </cfRule>
  </conditionalFormatting>
  <conditionalFormatting sqref="E61">
    <cfRule type="cellIs" dxfId="4" priority="11" operator="notEqual">
      <formula>1</formula>
    </cfRule>
  </conditionalFormatting>
  <conditionalFormatting sqref="E68">
    <cfRule type="cellIs" dxfId="3" priority="10" operator="notEqual">
      <formula>1</formula>
    </cfRule>
  </conditionalFormatting>
  <conditionalFormatting sqref="E76">
    <cfRule type="cellIs" dxfId="2" priority="9" operator="notEqual">
      <formula>1</formula>
    </cfRule>
  </conditionalFormatting>
  <conditionalFormatting sqref="E100">
    <cfRule type="cellIs" dxfId="1" priority="8" operator="notEqual">
      <formula>1</formula>
    </cfRule>
  </conditionalFormatting>
  <dataValidations count="4">
    <dataValidation type="list" allowBlank="1" showInputMessage="1" showErrorMessage="1" sqref="C5" xr:uid="{60FBF1B1-F95E-4029-88DB-84D0369E4399}">
      <formula1>training_programme_list</formula1>
    </dataValidation>
    <dataValidation type="list" allowBlank="1" showInputMessage="1" showErrorMessage="1" sqref="D11" xr:uid="{8FCDDD39-B271-4B10-A4AF-48331E078727}">
      <formula1>Programme_type</formula1>
    </dataValidation>
    <dataValidation type="list" allowBlank="1" showInputMessage="1" showErrorMessage="1" sqref="D12" xr:uid="{E32D79B8-EA96-453B-B230-CC4BFF44FDF3}">
      <formula1>nzqf_levels</formula1>
    </dataValidation>
    <dataValidation type="list" allowBlank="1" showInputMessage="1" showErrorMessage="1" sqref="D13" xr:uid="{56246D81-A189-47FA-9EEA-B17F304510DA}">
      <formula1>NZSCED_label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6C42F-A20F-425D-A7C1-75A6492FF15D}">
  <sheetPr codeName="Sheet2">
    <tabColor theme="2" tint="0.39997558519241921"/>
  </sheetPr>
  <dimension ref="A1:EJ45"/>
  <sheetViews>
    <sheetView workbookViewId="0">
      <pane xSplit="2" topLeftCell="C1" activePane="topRight" state="frozenSplit"/>
      <selection pane="topRight" activeCell="A41" sqref="A41"/>
    </sheetView>
  </sheetViews>
  <sheetFormatPr defaultColWidth="8.734375" defaultRowHeight="12.9" x14ac:dyDescent="0.5"/>
  <cols>
    <col min="1" max="1" width="12.734375" style="82" customWidth="1"/>
    <col min="2" max="2" width="74" style="3" customWidth="1"/>
    <col min="3" max="3" width="23" style="3" customWidth="1"/>
    <col min="4" max="4" width="16.734375" style="3" customWidth="1"/>
    <col min="5" max="6" width="12.734375" style="3" customWidth="1"/>
    <col min="7" max="7" width="12.734375" style="82" customWidth="1"/>
    <col min="8" max="8" width="31" style="3" customWidth="1"/>
    <col min="9" max="21" width="12.734375" style="3" customWidth="1"/>
    <col min="22" max="22" width="12.734375" style="82" customWidth="1"/>
    <col min="23" max="67" width="10.89453125" style="3" customWidth="1"/>
    <col min="68" max="72" width="13.62890625" style="3" customWidth="1"/>
    <col min="73" max="74" width="18.15625" style="3" customWidth="1"/>
    <col min="75" max="75" width="10.7890625" style="3" customWidth="1"/>
    <col min="76" max="79" width="18.15625" style="3" customWidth="1"/>
    <col min="80" max="80" width="10.89453125" style="3" customWidth="1"/>
    <col min="81" max="16384" width="8.734375" style="3"/>
  </cols>
  <sheetData>
    <row r="1" spans="1:81" ht="39" customHeight="1" x14ac:dyDescent="0.5">
      <c r="A1" s="251" t="s">
        <v>305</v>
      </c>
      <c r="B1" s="251"/>
    </row>
    <row r="3" spans="1:81" s="84" customFormat="1" ht="25.8" x14ac:dyDescent="0.55000000000000004">
      <c r="A3" s="261" t="s">
        <v>231</v>
      </c>
      <c r="B3" s="261"/>
      <c r="C3" s="261"/>
      <c r="D3" s="261"/>
      <c r="E3" s="261"/>
      <c r="F3" s="261"/>
      <c r="G3" s="261"/>
      <c r="H3" s="261"/>
      <c r="I3" s="260" t="s">
        <v>90</v>
      </c>
      <c r="J3" s="260"/>
      <c r="K3" s="260"/>
      <c r="L3" s="260"/>
      <c r="M3" s="260"/>
      <c r="N3" s="262" t="s">
        <v>252</v>
      </c>
      <c r="O3" s="262"/>
      <c r="P3" s="262"/>
      <c r="Q3" s="262"/>
      <c r="R3" s="260" t="s">
        <v>95</v>
      </c>
      <c r="S3" s="260"/>
      <c r="T3" s="260"/>
      <c r="U3" s="260"/>
      <c r="V3" s="173" t="s">
        <v>327</v>
      </c>
      <c r="W3" s="263" t="s">
        <v>58</v>
      </c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4" t="s">
        <v>222</v>
      </c>
      <c r="AM3" s="264"/>
      <c r="AN3" s="264"/>
      <c r="AO3" s="264"/>
      <c r="AP3" s="263" t="s">
        <v>59</v>
      </c>
      <c r="AQ3" s="263"/>
      <c r="AR3" s="263"/>
      <c r="AS3" s="263"/>
      <c r="AT3" s="263"/>
      <c r="AU3" s="264" t="s">
        <v>257</v>
      </c>
      <c r="AV3" s="264"/>
      <c r="AW3" s="264"/>
      <c r="AX3" s="264"/>
      <c r="AY3" s="264"/>
      <c r="AZ3" s="264"/>
      <c r="BA3" s="264"/>
      <c r="BB3" s="264"/>
      <c r="BC3" s="264"/>
      <c r="BD3" s="264"/>
      <c r="BE3" s="264"/>
      <c r="BF3" s="264"/>
      <c r="BG3" s="264"/>
      <c r="BH3" s="264"/>
      <c r="BI3" s="264"/>
      <c r="BJ3" s="264"/>
      <c r="BK3" s="264"/>
      <c r="BL3" s="264"/>
      <c r="BM3" s="264"/>
      <c r="BN3" s="264"/>
      <c r="BO3" s="264"/>
      <c r="BP3" s="259" t="s">
        <v>394</v>
      </c>
      <c r="BQ3" s="259"/>
      <c r="BR3" s="174" t="s">
        <v>398</v>
      </c>
      <c r="BS3" s="259" t="s">
        <v>550</v>
      </c>
      <c r="BT3" s="259"/>
      <c r="BU3" s="252" t="s">
        <v>317</v>
      </c>
      <c r="BV3" s="252"/>
      <c r="BW3" s="252"/>
      <c r="BX3" s="252"/>
      <c r="BY3" s="252"/>
      <c r="BZ3" s="252"/>
      <c r="CA3" s="252"/>
      <c r="CB3" s="252"/>
      <c r="CC3" s="184"/>
    </row>
    <row r="4" spans="1:81" s="108" customFormat="1" ht="61" customHeight="1" x14ac:dyDescent="0.55000000000000004">
      <c r="A4" s="113" t="s">
        <v>251</v>
      </c>
      <c r="B4" s="101" t="s">
        <v>218</v>
      </c>
      <c r="C4" s="101" t="s">
        <v>318</v>
      </c>
      <c r="D4" s="101" t="s">
        <v>316</v>
      </c>
      <c r="E4" s="101" t="s">
        <v>221</v>
      </c>
      <c r="F4" s="101" t="s">
        <v>319</v>
      </c>
      <c r="G4" s="113" t="s">
        <v>79</v>
      </c>
      <c r="H4" s="101" t="s">
        <v>225</v>
      </c>
      <c r="I4" s="114" t="str" cm="1">
        <f t="array" ref="I4:M4">TRANSPOSE(delivery_modes)</f>
        <v>'Classroom' learning</v>
      </c>
      <c r="J4" s="114" t="str">
        <v>Work-based learning</v>
      </c>
      <c r="K4" s="114" t="str">
        <v>One-to-one coaching</v>
      </c>
      <c r="L4" s="114" t="str">
        <v>Online (synchronous)</v>
      </c>
      <c r="M4" s="114" t="str">
        <v>Self-directed learning</v>
      </c>
      <c r="N4" s="114" t="str" cm="1">
        <f t="array" ref="N4:Q4">TRANSPOSE(completion_proportions)</f>
        <v>Fully complete</v>
      </c>
      <c r="O4" s="114" t="str">
        <v>50-99% complete</v>
      </c>
      <c r="P4" s="114" t="str">
        <v>20-49% complete</v>
      </c>
      <c r="Q4" s="114" t="str">
        <v>less than 20%</v>
      </c>
      <c r="R4" s="114" t="str" cm="1">
        <f t="array" ref="R4:U4">TRANSPOSE(delivery_quality)</f>
        <v>Excellent</v>
      </c>
      <c r="S4" s="114" t="str">
        <v>Good</v>
      </c>
      <c r="T4" s="114" t="str">
        <v>Typical</v>
      </c>
      <c r="U4" s="114" t="str">
        <v>Not acceptable</v>
      </c>
      <c r="V4" s="142" t="s">
        <v>326</v>
      </c>
      <c r="W4" s="186" t="str" cm="1">
        <f t="array" ref="W4:AK4">TRANSPOSE(industries)</f>
        <v>Apiculture</v>
      </c>
      <c r="X4" s="186" t="str">
        <v>Arable</v>
      </c>
      <c r="Y4" s="186" t="str">
        <v>Dairy farming</v>
      </c>
      <c r="Z4" s="186" t="str">
        <v>Equine, dogs and racing</v>
      </c>
      <c r="AA4" s="186" t="str">
        <v>Forestry</v>
      </c>
      <c r="AB4" s="186" t="str">
        <v>Fruit</v>
      </c>
      <c r="AC4" s="186" t="str">
        <v>Grapes and wine</v>
      </c>
      <c r="AD4" s="186" t="str">
        <v>Nursery, turf and gardening</v>
      </c>
      <c r="AE4" s="186" t="str">
        <v>Poultry, pigs &amp; other livestock</v>
      </c>
      <c r="AF4" s="186" t="str">
        <v>Seafood - production</v>
      </c>
      <c r="AG4" s="186" t="str">
        <v>Seafood - processing</v>
      </c>
      <c r="AH4" s="186" t="str">
        <v>Sheep, beef and deer farming</v>
      </c>
      <c r="AI4" s="186" t="str">
        <v>Support services</v>
      </c>
      <c r="AJ4" s="186" t="str">
        <v>Vegetables</v>
      </c>
      <c r="AK4" s="186" t="str">
        <v>Veterinary</v>
      </c>
      <c r="AL4" s="186" t="str" cm="1">
        <f t="array" ref="AL4:AO4">TRANSPOSE(roles)</f>
        <v>Strategic manager</v>
      </c>
      <c r="AM4" s="186" t="str">
        <v>Manager</v>
      </c>
      <c r="AN4" s="186" t="str">
        <v>Semi-autonomous</v>
      </c>
      <c r="AO4" s="186" t="str">
        <v>Managed</v>
      </c>
      <c r="AP4" s="186" t="str" cm="1">
        <f t="array" ref="AP4:AT4">TRANSPOSE(industry_experience)</f>
        <v>Less than 1 year</v>
      </c>
      <c r="AQ4" s="186" t="str">
        <v>1 to 2 years</v>
      </c>
      <c r="AR4" s="186" t="str">
        <v>2 to 4 years</v>
      </c>
      <c r="AS4" s="186" t="str">
        <v>5 to 10 years</v>
      </c>
      <c r="AT4" s="186" t="str">
        <v>10+ years</v>
      </c>
      <c r="AU4" s="186" t="str" cm="1">
        <f t="array" ref="AU4:BO4">TRANSPOSE(prior_training)</f>
        <v>No prior tertiary qualification</v>
      </c>
      <c r="AV4" s="186" t="str">
        <v>Industry relevant - L10</v>
      </c>
      <c r="AW4" s="186" t="str">
        <v>Industry relevant - L9</v>
      </c>
      <c r="AX4" s="186" t="str">
        <v>Industry relevant - L8</v>
      </c>
      <c r="AY4" s="186" t="str">
        <v>Industry relevant - L7</v>
      </c>
      <c r="AZ4" s="186" t="str">
        <v>Industry relevant - L6</v>
      </c>
      <c r="BA4" s="186" t="str">
        <v>Industry relevant - L5</v>
      </c>
      <c r="BB4" s="186" t="str">
        <v>Industry relevant - L4</v>
      </c>
      <c r="BC4" s="186" t="str">
        <v>Industry relevant - L3</v>
      </c>
      <c r="BD4" s="186" t="str">
        <v>Industry relevant - L2</v>
      </c>
      <c r="BE4" s="186" t="str">
        <v>Industry relevant - L1</v>
      </c>
      <c r="BF4" s="186" t="str">
        <v>Other - L10</v>
      </c>
      <c r="BG4" s="186" t="str">
        <v>Other - L9</v>
      </c>
      <c r="BH4" s="186" t="str">
        <v>Other - L8</v>
      </c>
      <c r="BI4" s="186" t="str">
        <v>Other - L7</v>
      </c>
      <c r="BJ4" s="186" t="str">
        <v>Other - L6</v>
      </c>
      <c r="BK4" s="186" t="str">
        <v>Other - L5</v>
      </c>
      <c r="BL4" s="186" t="str">
        <v>Other - L4</v>
      </c>
      <c r="BM4" s="186" t="str">
        <v>Other - L3</v>
      </c>
      <c r="BN4" s="186" t="str">
        <v>Other - L2</v>
      </c>
      <c r="BO4" s="186" t="str">
        <v>Other - L1</v>
      </c>
      <c r="BP4" s="183" t="s">
        <v>395</v>
      </c>
      <c r="BQ4" s="183" t="s">
        <v>396</v>
      </c>
      <c r="BR4" s="183" t="s">
        <v>399</v>
      </c>
      <c r="BS4" s="183" t="s">
        <v>549</v>
      </c>
      <c r="BT4" s="183" t="s">
        <v>548</v>
      </c>
      <c r="BU4" s="182" t="s">
        <v>471</v>
      </c>
      <c r="BV4" s="182" t="s">
        <v>472</v>
      </c>
      <c r="BW4" s="182" t="s">
        <v>444</v>
      </c>
      <c r="BX4" s="182" t="s">
        <v>473</v>
      </c>
      <c r="BY4" s="182" t="s">
        <v>474</v>
      </c>
      <c r="BZ4" s="182" t="s">
        <v>475</v>
      </c>
      <c r="CA4" s="182" t="s">
        <v>476</v>
      </c>
      <c r="CB4" s="182" t="s">
        <v>404</v>
      </c>
      <c r="CC4" s="185"/>
    </row>
    <row r="5" spans="1:81" x14ac:dyDescent="0.5">
      <c r="A5" s="82" t="s">
        <v>259</v>
      </c>
      <c r="B5" s="3" t="s">
        <v>253</v>
      </c>
      <c r="C5" s="3" t="s">
        <v>219</v>
      </c>
      <c r="D5" s="82">
        <v>120</v>
      </c>
      <c r="E5" s="82">
        <v>1200</v>
      </c>
      <c r="F5" s="3" t="s">
        <v>320</v>
      </c>
      <c r="G5" s="82" t="s">
        <v>85</v>
      </c>
      <c r="H5" s="3" t="s">
        <v>121</v>
      </c>
      <c r="I5" s="116">
        <v>0.2</v>
      </c>
      <c r="J5" s="116">
        <v>0</v>
      </c>
      <c r="K5" s="116">
        <v>0</v>
      </c>
      <c r="L5" s="116">
        <v>0.1</v>
      </c>
      <c r="M5" s="116">
        <v>0.7</v>
      </c>
      <c r="N5" s="116">
        <v>0.7</v>
      </c>
      <c r="O5" s="116">
        <v>0.05</v>
      </c>
      <c r="P5" s="116">
        <v>0.1</v>
      </c>
      <c r="Q5" s="116">
        <v>0.15</v>
      </c>
      <c r="R5" s="116">
        <v>0</v>
      </c>
      <c r="S5" s="116">
        <v>0</v>
      </c>
      <c r="T5" s="116">
        <v>1</v>
      </c>
      <c r="U5" s="116">
        <v>0</v>
      </c>
      <c r="V5" s="82">
        <v>100</v>
      </c>
      <c r="W5" s="118">
        <v>0</v>
      </c>
      <c r="X5" s="118">
        <v>0</v>
      </c>
      <c r="Y5" s="118">
        <v>1</v>
      </c>
      <c r="Z5" s="118">
        <v>0</v>
      </c>
      <c r="AA5" s="118">
        <v>0</v>
      </c>
      <c r="AB5" s="118">
        <v>0</v>
      </c>
      <c r="AC5" s="118">
        <v>0</v>
      </c>
      <c r="AD5" s="118">
        <v>0</v>
      </c>
      <c r="AE5" s="118">
        <v>0</v>
      </c>
      <c r="AF5" s="118">
        <v>0</v>
      </c>
      <c r="AG5" s="118">
        <v>0</v>
      </c>
      <c r="AH5" s="118">
        <v>0</v>
      </c>
      <c r="AI5" s="118">
        <v>0</v>
      </c>
      <c r="AJ5" s="118">
        <v>0</v>
      </c>
      <c r="AK5" s="118">
        <v>0</v>
      </c>
      <c r="AL5" s="187">
        <v>0.5</v>
      </c>
      <c r="AM5" s="187">
        <v>0.5</v>
      </c>
      <c r="AN5" s="187">
        <v>0</v>
      </c>
      <c r="AO5" s="187">
        <v>0</v>
      </c>
      <c r="AP5" s="118">
        <v>0</v>
      </c>
      <c r="AQ5" s="118">
        <v>0</v>
      </c>
      <c r="AR5" s="118">
        <v>0</v>
      </c>
      <c r="AS5" s="118">
        <v>0.7</v>
      </c>
      <c r="AT5" s="118">
        <v>0.3</v>
      </c>
      <c r="AU5" s="118">
        <v>0.1</v>
      </c>
      <c r="AV5" s="118">
        <v>0</v>
      </c>
      <c r="AW5" s="118">
        <v>0</v>
      </c>
      <c r="AX5" s="118">
        <v>0</v>
      </c>
      <c r="AY5" s="118">
        <v>0.1</v>
      </c>
      <c r="AZ5" s="118">
        <v>0</v>
      </c>
      <c r="BA5" s="118">
        <v>0</v>
      </c>
      <c r="BB5" s="118">
        <v>0.1</v>
      </c>
      <c r="BC5" s="118">
        <v>0.1</v>
      </c>
      <c r="BD5" s="118">
        <v>0.1</v>
      </c>
      <c r="BE5" s="118">
        <v>0</v>
      </c>
      <c r="BF5" s="118">
        <v>0</v>
      </c>
      <c r="BG5" s="118">
        <v>0</v>
      </c>
      <c r="BH5" s="118">
        <v>0</v>
      </c>
      <c r="BI5" s="118">
        <v>0.1</v>
      </c>
      <c r="BJ5" s="118">
        <v>0</v>
      </c>
      <c r="BK5" s="118">
        <v>0</v>
      </c>
      <c r="BL5" s="118">
        <v>0.15</v>
      </c>
      <c r="BM5" s="118">
        <v>0.15</v>
      </c>
      <c r="BN5" s="118">
        <v>0.1</v>
      </c>
      <c r="BO5" s="118">
        <v>0</v>
      </c>
      <c r="BP5" s="87">
        <v>100000</v>
      </c>
      <c r="BQ5" s="3">
        <v>8</v>
      </c>
      <c r="BR5" s="3">
        <v>10</v>
      </c>
      <c r="BS5" s="87">
        <v>16000</v>
      </c>
      <c r="BT5" s="87">
        <v>0</v>
      </c>
      <c r="BU5" s="87">
        <v>30129.521492197899</v>
      </c>
      <c r="BV5" s="181" t="s">
        <v>407</v>
      </c>
      <c r="BW5" s="87">
        <v>14.0517202645349</v>
      </c>
      <c r="BX5" s="87">
        <v>423371.60771265702</v>
      </c>
      <c r="BY5" s="181" t="s">
        <v>408</v>
      </c>
      <c r="BZ5" s="87">
        <v>102812.5</v>
      </c>
      <c r="CA5" s="181" t="s">
        <v>551</v>
      </c>
      <c r="CB5" s="87">
        <v>21447.047863043001</v>
      </c>
    </row>
    <row r="6" spans="1:81" x14ac:dyDescent="0.5">
      <c r="A6" s="82" t="s">
        <v>278</v>
      </c>
      <c r="B6" s="3" t="s">
        <v>488</v>
      </c>
      <c r="C6" s="3" t="s">
        <v>489</v>
      </c>
      <c r="D6" s="82">
        <v>15</v>
      </c>
      <c r="E6" s="82">
        <v>150</v>
      </c>
      <c r="F6" s="3" t="s">
        <v>324</v>
      </c>
      <c r="G6" s="82" t="s">
        <v>85</v>
      </c>
      <c r="H6" s="3" t="s">
        <v>182</v>
      </c>
      <c r="I6" s="116">
        <v>0.16666666666666699</v>
      </c>
      <c r="J6" s="116">
        <v>0</v>
      </c>
      <c r="K6" s="116">
        <v>0</v>
      </c>
      <c r="L6" s="116">
        <v>5.3333333333333302E-2</v>
      </c>
      <c r="M6" s="116">
        <v>0.78</v>
      </c>
      <c r="N6" s="116">
        <v>0.7</v>
      </c>
      <c r="O6" s="116">
        <v>0.05</v>
      </c>
      <c r="P6" s="116">
        <v>0.1</v>
      </c>
      <c r="Q6" s="116">
        <v>0.15</v>
      </c>
      <c r="R6" s="116">
        <v>0</v>
      </c>
      <c r="S6" s="116">
        <v>0</v>
      </c>
      <c r="T6" s="116">
        <v>1</v>
      </c>
      <c r="U6" s="116">
        <v>0</v>
      </c>
      <c r="V6" s="82">
        <v>80</v>
      </c>
      <c r="W6" s="118">
        <v>0</v>
      </c>
      <c r="X6" s="118">
        <v>0</v>
      </c>
      <c r="Y6" s="118">
        <v>1</v>
      </c>
      <c r="Z6" s="118">
        <v>0</v>
      </c>
      <c r="AA6" s="118">
        <v>0</v>
      </c>
      <c r="AB6" s="118">
        <v>0</v>
      </c>
      <c r="AC6" s="118">
        <v>0</v>
      </c>
      <c r="AD6" s="118">
        <v>0</v>
      </c>
      <c r="AE6" s="118">
        <v>0</v>
      </c>
      <c r="AF6" s="118">
        <v>0</v>
      </c>
      <c r="AG6" s="118">
        <v>0</v>
      </c>
      <c r="AH6" s="118">
        <v>0</v>
      </c>
      <c r="AI6" s="118">
        <v>0</v>
      </c>
      <c r="AJ6" s="118">
        <v>0</v>
      </c>
      <c r="AK6" s="118">
        <v>0</v>
      </c>
      <c r="AL6" s="187">
        <v>0.5</v>
      </c>
      <c r="AM6" s="187">
        <v>0.5</v>
      </c>
      <c r="AN6" s="187">
        <v>0</v>
      </c>
      <c r="AO6" s="187">
        <v>0</v>
      </c>
      <c r="AP6" s="118">
        <v>0</v>
      </c>
      <c r="AQ6" s="118">
        <v>0</v>
      </c>
      <c r="AR6" s="118">
        <v>0</v>
      </c>
      <c r="AS6" s="118">
        <v>0.7</v>
      </c>
      <c r="AT6" s="118">
        <v>0.3</v>
      </c>
      <c r="AU6" s="118">
        <v>0.1</v>
      </c>
      <c r="AV6" s="118">
        <v>0</v>
      </c>
      <c r="AW6" s="118">
        <v>0</v>
      </c>
      <c r="AX6" s="118">
        <v>0</v>
      </c>
      <c r="AY6" s="118">
        <v>0.1</v>
      </c>
      <c r="AZ6" s="118">
        <v>0</v>
      </c>
      <c r="BA6" s="118">
        <v>0</v>
      </c>
      <c r="BB6" s="118">
        <v>0.1</v>
      </c>
      <c r="BC6" s="118">
        <v>0.1</v>
      </c>
      <c r="BD6" s="118">
        <v>0.1</v>
      </c>
      <c r="BE6" s="118">
        <v>0</v>
      </c>
      <c r="BF6" s="118">
        <v>0</v>
      </c>
      <c r="BG6" s="118">
        <v>0</v>
      </c>
      <c r="BH6" s="118">
        <v>0</v>
      </c>
      <c r="BI6" s="118">
        <v>0.1</v>
      </c>
      <c r="BJ6" s="118">
        <v>0</v>
      </c>
      <c r="BK6" s="118">
        <v>0</v>
      </c>
      <c r="BL6" s="118">
        <v>0.15</v>
      </c>
      <c r="BM6" s="118">
        <v>0.15</v>
      </c>
      <c r="BN6" s="118">
        <v>0.1</v>
      </c>
      <c r="BO6" s="118">
        <v>0</v>
      </c>
      <c r="BP6" s="87">
        <v>45000</v>
      </c>
      <c r="BQ6" s="3">
        <v>5</v>
      </c>
      <c r="BR6" s="3">
        <v>8</v>
      </c>
      <c r="BS6" s="87">
        <v>12375</v>
      </c>
      <c r="BT6" s="87">
        <v>0</v>
      </c>
      <c r="BU6" s="87">
        <v>26281.184667639602</v>
      </c>
      <c r="BV6" s="181" t="s">
        <v>407</v>
      </c>
      <c r="BW6" s="87">
        <v>14.0517202645349</v>
      </c>
      <c r="BX6" s="87">
        <v>369295.85517025599</v>
      </c>
      <c r="BY6" s="181" t="s">
        <v>415</v>
      </c>
      <c r="BZ6" s="87">
        <v>40332.526282504798</v>
      </c>
      <c r="CA6" s="181" t="s">
        <v>420</v>
      </c>
      <c r="CB6" s="87">
        <v>2458.8354271080798</v>
      </c>
    </row>
    <row r="7" spans="1:81" x14ac:dyDescent="0.5">
      <c r="A7" s="82" t="s">
        <v>260</v>
      </c>
      <c r="B7" s="3" t="s">
        <v>490</v>
      </c>
      <c r="C7" s="3" t="s">
        <v>489</v>
      </c>
      <c r="D7" s="82">
        <v>15</v>
      </c>
      <c r="E7" s="82">
        <v>150</v>
      </c>
      <c r="F7" s="3" t="s">
        <v>324</v>
      </c>
      <c r="G7" s="82" t="s">
        <v>85</v>
      </c>
      <c r="H7" s="3" t="s">
        <v>182</v>
      </c>
      <c r="I7" s="116">
        <v>0.16666666666666699</v>
      </c>
      <c r="J7" s="116">
        <v>0</v>
      </c>
      <c r="K7" s="116">
        <v>0</v>
      </c>
      <c r="L7" s="116">
        <v>5.3333333333333302E-2</v>
      </c>
      <c r="M7" s="116">
        <v>0.78</v>
      </c>
      <c r="N7" s="116">
        <v>0.7</v>
      </c>
      <c r="O7" s="116">
        <v>0.05</v>
      </c>
      <c r="P7" s="116">
        <v>0.1</v>
      </c>
      <c r="Q7" s="116">
        <v>0.15</v>
      </c>
      <c r="R7" s="116">
        <v>0</v>
      </c>
      <c r="S7" s="116">
        <v>0</v>
      </c>
      <c r="T7" s="116">
        <v>1</v>
      </c>
      <c r="U7" s="116">
        <v>0</v>
      </c>
      <c r="V7" s="82">
        <v>100</v>
      </c>
      <c r="W7" s="118">
        <v>0</v>
      </c>
      <c r="X7" s="118">
        <v>0</v>
      </c>
      <c r="Y7" s="118">
        <v>1</v>
      </c>
      <c r="Z7" s="118">
        <v>0</v>
      </c>
      <c r="AA7" s="118">
        <v>0</v>
      </c>
      <c r="AB7" s="118">
        <v>0</v>
      </c>
      <c r="AC7" s="118">
        <v>0</v>
      </c>
      <c r="AD7" s="118">
        <v>0</v>
      </c>
      <c r="AE7" s="118">
        <v>0</v>
      </c>
      <c r="AF7" s="118">
        <v>0</v>
      </c>
      <c r="AG7" s="118">
        <v>0</v>
      </c>
      <c r="AH7" s="118">
        <v>0</v>
      </c>
      <c r="AI7" s="118">
        <v>0</v>
      </c>
      <c r="AJ7" s="118">
        <v>0</v>
      </c>
      <c r="AK7" s="118">
        <v>0</v>
      </c>
      <c r="AL7" s="187">
        <v>0</v>
      </c>
      <c r="AM7" s="187">
        <v>0.9</v>
      </c>
      <c r="AN7" s="187">
        <v>0.1</v>
      </c>
      <c r="AO7" s="187">
        <v>0</v>
      </c>
      <c r="AP7" s="118">
        <v>0</v>
      </c>
      <c r="AQ7" s="118">
        <v>0</v>
      </c>
      <c r="AR7" s="118">
        <v>0.2</v>
      </c>
      <c r="AS7" s="118">
        <v>0.7</v>
      </c>
      <c r="AT7" s="118">
        <v>0.1</v>
      </c>
      <c r="AU7" s="118">
        <v>0.1</v>
      </c>
      <c r="AV7" s="118">
        <v>0</v>
      </c>
      <c r="AW7" s="118">
        <v>0</v>
      </c>
      <c r="AX7" s="118">
        <v>0</v>
      </c>
      <c r="AY7" s="118">
        <v>0.05</v>
      </c>
      <c r="AZ7" s="118">
        <v>0</v>
      </c>
      <c r="BA7" s="118">
        <v>0</v>
      </c>
      <c r="BB7" s="118">
        <v>0.15</v>
      </c>
      <c r="BC7" s="118">
        <v>0.1</v>
      </c>
      <c r="BD7" s="118">
        <v>0.1</v>
      </c>
      <c r="BE7" s="118">
        <v>0</v>
      </c>
      <c r="BF7" s="118">
        <v>0</v>
      </c>
      <c r="BG7" s="118">
        <v>0</v>
      </c>
      <c r="BH7" s="118">
        <v>0</v>
      </c>
      <c r="BI7" s="118">
        <v>0.1</v>
      </c>
      <c r="BJ7" s="118">
        <v>0</v>
      </c>
      <c r="BK7" s="118">
        <v>0</v>
      </c>
      <c r="BL7" s="118">
        <v>0.15</v>
      </c>
      <c r="BM7" s="118">
        <v>0.15</v>
      </c>
      <c r="BN7" s="118">
        <v>0.1</v>
      </c>
      <c r="BO7" s="118">
        <v>0</v>
      </c>
      <c r="BP7" s="87">
        <v>45000</v>
      </c>
      <c r="BQ7" s="3">
        <v>7</v>
      </c>
      <c r="BR7" s="3">
        <v>8</v>
      </c>
      <c r="BS7" s="87">
        <v>19753</v>
      </c>
      <c r="BT7" s="87">
        <v>0</v>
      </c>
      <c r="BU7" s="87">
        <v>11883.832472993399</v>
      </c>
      <c r="BV7" s="181" t="s">
        <v>419</v>
      </c>
      <c r="BW7" s="87">
        <v>13.050732853289</v>
      </c>
      <c r="BX7" s="87">
        <v>155092.72287827701</v>
      </c>
      <c r="BY7" s="181" t="s">
        <v>417</v>
      </c>
      <c r="BZ7" s="87">
        <v>41190.665139579403</v>
      </c>
      <c r="CA7" s="181" t="s">
        <v>420</v>
      </c>
      <c r="CB7" s="87">
        <v>2410.6211413937899</v>
      </c>
    </row>
    <row r="8" spans="1:81" x14ac:dyDescent="0.5">
      <c r="A8" s="82" t="s">
        <v>261</v>
      </c>
      <c r="B8" s="3" t="s">
        <v>536</v>
      </c>
      <c r="C8" s="3" t="s">
        <v>489</v>
      </c>
      <c r="D8" s="82">
        <v>20</v>
      </c>
      <c r="E8" s="82">
        <v>200</v>
      </c>
      <c r="F8" s="3" t="s">
        <v>324</v>
      </c>
      <c r="G8" s="82" t="s">
        <v>88</v>
      </c>
      <c r="H8" s="3" t="s">
        <v>121</v>
      </c>
      <c r="I8" s="116">
        <v>0.8</v>
      </c>
      <c r="J8" s="116">
        <v>0.125</v>
      </c>
      <c r="K8" s="116">
        <v>0</v>
      </c>
      <c r="L8" s="116">
        <v>0</v>
      </c>
      <c r="M8" s="116">
        <v>7.4999999999999997E-2</v>
      </c>
      <c r="N8" s="116">
        <v>0.9</v>
      </c>
      <c r="O8" s="116">
        <v>0</v>
      </c>
      <c r="P8" s="116">
        <v>0</v>
      </c>
      <c r="Q8" s="116">
        <v>0.1</v>
      </c>
      <c r="R8" s="116">
        <v>0</v>
      </c>
      <c r="S8" s="116">
        <v>0</v>
      </c>
      <c r="T8" s="116">
        <v>1</v>
      </c>
      <c r="U8" s="116">
        <v>0</v>
      </c>
      <c r="V8" s="82">
        <v>15</v>
      </c>
      <c r="W8" s="118">
        <v>0</v>
      </c>
      <c r="X8" s="118">
        <v>0</v>
      </c>
      <c r="Y8" s="118">
        <v>1</v>
      </c>
      <c r="Z8" s="118">
        <v>0</v>
      </c>
      <c r="AA8" s="118">
        <v>0</v>
      </c>
      <c r="AB8" s="118">
        <v>0</v>
      </c>
      <c r="AC8" s="118">
        <v>0</v>
      </c>
      <c r="AD8" s="118">
        <v>0</v>
      </c>
      <c r="AE8" s="118">
        <v>0</v>
      </c>
      <c r="AF8" s="118">
        <v>0</v>
      </c>
      <c r="AG8" s="118">
        <v>0</v>
      </c>
      <c r="AH8" s="118">
        <v>0</v>
      </c>
      <c r="AI8" s="118">
        <v>0</v>
      </c>
      <c r="AJ8" s="118">
        <v>0</v>
      </c>
      <c r="AK8" s="118">
        <v>0</v>
      </c>
      <c r="AL8" s="187">
        <v>0</v>
      </c>
      <c r="AM8" s="187">
        <v>0</v>
      </c>
      <c r="AN8" s="187">
        <v>0</v>
      </c>
      <c r="AO8" s="187">
        <v>1</v>
      </c>
      <c r="AP8" s="118">
        <v>1</v>
      </c>
      <c r="AQ8" s="118">
        <v>0</v>
      </c>
      <c r="AR8" s="118">
        <v>0</v>
      </c>
      <c r="AS8" s="118">
        <v>0</v>
      </c>
      <c r="AT8" s="118">
        <v>0</v>
      </c>
      <c r="AU8" s="118">
        <v>0.8</v>
      </c>
      <c r="AV8" s="118">
        <v>0</v>
      </c>
      <c r="AW8" s="118">
        <v>0</v>
      </c>
      <c r="AX8" s="118">
        <v>0</v>
      </c>
      <c r="AY8" s="118">
        <v>0</v>
      </c>
      <c r="AZ8" s="118">
        <v>0</v>
      </c>
      <c r="BA8" s="118">
        <v>0</v>
      </c>
      <c r="BB8" s="118">
        <v>0</v>
      </c>
      <c r="BC8" s="118">
        <v>0</v>
      </c>
      <c r="BD8" s="118">
        <v>0</v>
      </c>
      <c r="BE8" s="118">
        <v>0</v>
      </c>
      <c r="BF8" s="118">
        <v>0</v>
      </c>
      <c r="BG8" s="118">
        <v>0</v>
      </c>
      <c r="BH8" s="118">
        <v>0</v>
      </c>
      <c r="BI8" s="118">
        <v>0</v>
      </c>
      <c r="BJ8" s="118">
        <v>0</v>
      </c>
      <c r="BK8" s="118">
        <v>0</v>
      </c>
      <c r="BL8" s="118">
        <v>0</v>
      </c>
      <c r="BM8" s="118">
        <v>0.1</v>
      </c>
      <c r="BN8" s="118">
        <v>0.1</v>
      </c>
      <c r="BO8" s="118">
        <v>0</v>
      </c>
      <c r="BP8" s="87">
        <v>45000</v>
      </c>
      <c r="BQ8" s="3">
        <v>7</v>
      </c>
      <c r="BR8" s="3">
        <v>15</v>
      </c>
      <c r="BS8" s="87">
        <v>12375</v>
      </c>
      <c r="BT8" s="87">
        <v>0</v>
      </c>
      <c r="BU8" s="87">
        <v>4629.8658291976299</v>
      </c>
      <c r="BV8" s="181" t="s">
        <v>416</v>
      </c>
      <c r="BW8" s="87">
        <v>4.0785073788415804</v>
      </c>
      <c r="BX8" s="87">
        <v>18882.941947429001</v>
      </c>
      <c r="BY8" s="181" t="s">
        <v>453</v>
      </c>
      <c r="BZ8" s="87">
        <v>41171.738736225299</v>
      </c>
      <c r="CA8" s="181" t="s">
        <v>420</v>
      </c>
      <c r="CB8" s="87">
        <v>8214.3419158930392</v>
      </c>
    </row>
    <row r="9" spans="1:81" x14ac:dyDescent="0.5">
      <c r="A9" s="82" t="s">
        <v>262</v>
      </c>
      <c r="B9" s="3" t="s">
        <v>515</v>
      </c>
      <c r="C9" s="3" t="s">
        <v>489</v>
      </c>
      <c r="D9" s="82">
        <v>15</v>
      </c>
      <c r="E9" s="82">
        <v>150</v>
      </c>
      <c r="F9" s="3" t="s">
        <v>324</v>
      </c>
      <c r="G9" s="82" t="s">
        <v>85</v>
      </c>
      <c r="H9" s="3" t="s">
        <v>182</v>
      </c>
      <c r="I9" s="116">
        <v>0.31</v>
      </c>
      <c r="J9" s="116">
        <v>0.16</v>
      </c>
      <c r="K9" s="116">
        <v>0</v>
      </c>
      <c r="L9" s="116">
        <v>0</v>
      </c>
      <c r="M9" s="116">
        <v>0.53133333333333299</v>
      </c>
      <c r="N9" s="116">
        <v>0.7</v>
      </c>
      <c r="O9" s="116">
        <v>0.05</v>
      </c>
      <c r="P9" s="116">
        <v>0.1</v>
      </c>
      <c r="Q9" s="116">
        <v>0.15</v>
      </c>
      <c r="R9" s="116">
        <v>0</v>
      </c>
      <c r="S9" s="116">
        <v>0</v>
      </c>
      <c r="T9" s="116">
        <v>1</v>
      </c>
      <c r="U9" s="116">
        <v>0</v>
      </c>
      <c r="V9" s="82">
        <v>80</v>
      </c>
      <c r="W9" s="118">
        <v>0</v>
      </c>
      <c r="X9" s="118">
        <v>0</v>
      </c>
      <c r="Y9" s="118">
        <v>1</v>
      </c>
      <c r="Z9" s="118">
        <v>0</v>
      </c>
      <c r="AA9" s="118">
        <v>0</v>
      </c>
      <c r="AB9" s="118">
        <v>0</v>
      </c>
      <c r="AC9" s="118">
        <v>0</v>
      </c>
      <c r="AD9" s="118">
        <v>0</v>
      </c>
      <c r="AE9" s="118">
        <v>0</v>
      </c>
      <c r="AF9" s="118">
        <v>0</v>
      </c>
      <c r="AG9" s="118">
        <v>0</v>
      </c>
      <c r="AH9" s="118">
        <v>0</v>
      </c>
      <c r="AI9" s="118">
        <v>0</v>
      </c>
      <c r="AJ9" s="118">
        <v>0</v>
      </c>
      <c r="AK9" s="118">
        <v>0</v>
      </c>
      <c r="AL9" s="187">
        <v>0.2</v>
      </c>
      <c r="AM9" s="187">
        <v>0.8</v>
      </c>
      <c r="AN9" s="187">
        <v>0</v>
      </c>
      <c r="AO9" s="187">
        <v>0</v>
      </c>
      <c r="AP9" s="118">
        <v>0</v>
      </c>
      <c r="AQ9" s="118">
        <v>0</v>
      </c>
      <c r="AR9" s="118">
        <v>0</v>
      </c>
      <c r="AS9" s="118">
        <v>0.7</v>
      </c>
      <c r="AT9" s="118">
        <v>0.3</v>
      </c>
      <c r="AU9" s="118">
        <v>0.1</v>
      </c>
      <c r="AV9" s="118">
        <v>0</v>
      </c>
      <c r="AW9" s="118">
        <v>0</v>
      </c>
      <c r="AX9" s="118">
        <v>0</v>
      </c>
      <c r="AY9" s="118">
        <v>0.1</v>
      </c>
      <c r="AZ9" s="118">
        <v>0</v>
      </c>
      <c r="BA9" s="118">
        <v>0</v>
      </c>
      <c r="BB9" s="118">
        <v>0.1</v>
      </c>
      <c r="BC9" s="118">
        <v>0.1</v>
      </c>
      <c r="BD9" s="118">
        <v>0.1</v>
      </c>
      <c r="BE9" s="118">
        <v>0</v>
      </c>
      <c r="BF9" s="118">
        <v>0</v>
      </c>
      <c r="BG9" s="118">
        <v>0</v>
      </c>
      <c r="BH9" s="118">
        <v>0</v>
      </c>
      <c r="BI9" s="118">
        <v>0.1</v>
      </c>
      <c r="BJ9" s="118">
        <v>0</v>
      </c>
      <c r="BK9" s="118">
        <v>0</v>
      </c>
      <c r="BL9" s="118">
        <v>0.15</v>
      </c>
      <c r="BM9" s="118">
        <v>0.15</v>
      </c>
      <c r="BN9" s="118">
        <v>0.1</v>
      </c>
      <c r="BO9" s="118">
        <v>0</v>
      </c>
      <c r="BP9" s="87">
        <v>45000</v>
      </c>
      <c r="BQ9" s="3">
        <v>8</v>
      </c>
      <c r="BR9" s="3">
        <v>8</v>
      </c>
      <c r="BS9" s="87">
        <v>12375</v>
      </c>
      <c r="BT9" s="87">
        <v>0</v>
      </c>
      <c r="BU9" s="87">
        <v>18132.238174712202</v>
      </c>
      <c r="BV9" s="181" t="s">
        <v>453</v>
      </c>
      <c r="BW9" s="87">
        <v>14.0517202645349</v>
      </c>
      <c r="BX9" s="87">
        <v>254789.13860097699</v>
      </c>
      <c r="BY9" s="181" t="s">
        <v>415</v>
      </c>
      <c r="BZ9" s="87">
        <v>40332.526282504798</v>
      </c>
      <c r="CA9" s="181" t="s">
        <v>420</v>
      </c>
      <c r="CB9" s="87">
        <v>3596.8360206714301</v>
      </c>
    </row>
    <row r="10" spans="1:81" x14ac:dyDescent="0.5">
      <c r="A10" s="82" t="s">
        <v>263</v>
      </c>
      <c r="B10" s="3" t="s">
        <v>516</v>
      </c>
      <c r="C10" s="3" t="s">
        <v>489</v>
      </c>
      <c r="D10" s="82">
        <v>15</v>
      </c>
      <c r="E10" s="82">
        <v>150</v>
      </c>
      <c r="F10" s="3" t="s">
        <v>324</v>
      </c>
      <c r="G10" s="82" t="s">
        <v>85</v>
      </c>
      <c r="H10" s="3" t="s">
        <v>182</v>
      </c>
      <c r="I10" s="116">
        <v>0.31</v>
      </c>
      <c r="J10" s="116">
        <v>0.16</v>
      </c>
      <c r="K10" s="116">
        <v>0</v>
      </c>
      <c r="L10" s="116">
        <v>0</v>
      </c>
      <c r="M10" s="116">
        <v>0.53133333333333299</v>
      </c>
      <c r="N10" s="116">
        <v>0.7</v>
      </c>
      <c r="O10" s="116">
        <v>0.05</v>
      </c>
      <c r="P10" s="116">
        <v>0.1</v>
      </c>
      <c r="Q10" s="116">
        <v>0.15</v>
      </c>
      <c r="R10" s="116">
        <v>0</v>
      </c>
      <c r="S10" s="116">
        <v>0</v>
      </c>
      <c r="T10" s="116">
        <v>1</v>
      </c>
      <c r="U10" s="116">
        <v>0</v>
      </c>
      <c r="V10" s="82">
        <v>80</v>
      </c>
      <c r="W10" s="118">
        <v>0</v>
      </c>
      <c r="X10" s="118">
        <v>0</v>
      </c>
      <c r="Y10" s="118">
        <v>1</v>
      </c>
      <c r="Z10" s="118">
        <v>0</v>
      </c>
      <c r="AA10" s="118">
        <v>0</v>
      </c>
      <c r="AB10" s="118">
        <v>0</v>
      </c>
      <c r="AC10" s="118">
        <v>0</v>
      </c>
      <c r="AD10" s="118">
        <v>0</v>
      </c>
      <c r="AE10" s="118">
        <v>0</v>
      </c>
      <c r="AF10" s="118">
        <v>0</v>
      </c>
      <c r="AG10" s="118">
        <v>0</v>
      </c>
      <c r="AH10" s="118">
        <v>0</v>
      </c>
      <c r="AI10" s="118">
        <v>0</v>
      </c>
      <c r="AJ10" s="118">
        <v>0</v>
      </c>
      <c r="AK10" s="118">
        <v>0</v>
      </c>
      <c r="AL10" s="187">
        <v>0.5</v>
      </c>
      <c r="AM10" s="187">
        <v>0.5</v>
      </c>
      <c r="AN10" s="187">
        <v>0</v>
      </c>
      <c r="AO10" s="187">
        <v>0</v>
      </c>
      <c r="AP10" s="118">
        <v>0</v>
      </c>
      <c r="AQ10" s="118">
        <v>0</v>
      </c>
      <c r="AR10" s="118">
        <v>0</v>
      </c>
      <c r="AS10" s="118">
        <v>0.8</v>
      </c>
      <c r="AT10" s="118">
        <v>0.2</v>
      </c>
      <c r="AU10" s="118">
        <v>0.1</v>
      </c>
      <c r="AV10" s="118">
        <v>0</v>
      </c>
      <c r="AW10" s="118">
        <v>0</v>
      </c>
      <c r="AX10" s="118">
        <v>0</v>
      </c>
      <c r="AY10" s="118">
        <v>0.1</v>
      </c>
      <c r="AZ10" s="118">
        <v>0</v>
      </c>
      <c r="BA10" s="118">
        <v>0</v>
      </c>
      <c r="BB10" s="118">
        <v>0.1</v>
      </c>
      <c r="BC10" s="118">
        <v>0.1</v>
      </c>
      <c r="BD10" s="118">
        <v>0.1</v>
      </c>
      <c r="BE10" s="118">
        <v>0</v>
      </c>
      <c r="BF10" s="118">
        <v>0</v>
      </c>
      <c r="BG10" s="118">
        <v>0</v>
      </c>
      <c r="BH10" s="118">
        <v>0</v>
      </c>
      <c r="BI10" s="118">
        <v>0.1</v>
      </c>
      <c r="BJ10" s="118">
        <v>0</v>
      </c>
      <c r="BK10" s="118">
        <v>0</v>
      </c>
      <c r="BL10" s="118">
        <v>0.15</v>
      </c>
      <c r="BM10" s="118">
        <v>0.15</v>
      </c>
      <c r="BN10" s="118">
        <v>0.1</v>
      </c>
      <c r="BO10" s="118">
        <v>0</v>
      </c>
      <c r="BP10" s="87">
        <v>45000</v>
      </c>
      <c r="BQ10" s="3">
        <v>8</v>
      </c>
      <c r="BR10" s="3">
        <v>8</v>
      </c>
      <c r="BS10" s="87">
        <v>12375</v>
      </c>
      <c r="BT10" s="87">
        <v>0</v>
      </c>
      <c r="BU10" s="87">
        <v>26281.184667639602</v>
      </c>
      <c r="BV10" s="181" t="s">
        <v>407</v>
      </c>
      <c r="BW10" s="87">
        <v>14.058354754159399</v>
      </c>
      <c r="BX10" s="87">
        <v>369470.21741725202</v>
      </c>
      <c r="BY10" s="181" t="s">
        <v>415</v>
      </c>
      <c r="BZ10" s="87">
        <v>40332.526282504798</v>
      </c>
      <c r="CA10" s="181" t="s">
        <v>420</v>
      </c>
      <c r="CB10" s="87">
        <v>3596.8360206714301</v>
      </c>
    </row>
    <row r="11" spans="1:81" x14ac:dyDescent="0.5">
      <c r="A11" s="82" t="s">
        <v>264</v>
      </c>
      <c r="B11" s="3" t="s">
        <v>517</v>
      </c>
      <c r="C11" s="3" t="s">
        <v>489</v>
      </c>
      <c r="D11" s="82">
        <v>16</v>
      </c>
      <c r="E11" s="82">
        <v>150</v>
      </c>
      <c r="F11" s="3" t="s">
        <v>324</v>
      </c>
      <c r="G11" s="82" t="s">
        <v>85</v>
      </c>
      <c r="H11" s="3" t="s">
        <v>121</v>
      </c>
      <c r="I11" s="116">
        <v>0.28749999999999998</v>
      </c>
      <c r="J11" s="116">
        <v>0.17499999999999999</v>
      </c>
      <c r="K11" s="116">
        <v>0</v>
      </c>
      <c r="L11" s="116">
        <v>5.3333333333333302E-2</v>
      </c>
      <c r="M11" s="116">
        <v>0.53749999999999998</v>
      </c>
      <c r="N11" s="116">
        <v>0.7</v>
      </c>
      <c r="O11" s="116">
        <v>0.05</v>
      </c>
      <c r="P11" s="116">
        <v>0.1</v>
      </c>
      <c r="Q11" s="116">
        <v>0.15</v>
      </c>
      <c r="R11" s="116">
        <v>0</v>
      </c>
      <c r="S11" s="116">
        <v>0</v>
      </c>
      <c r="T11" s="116">
        <v>1</v>
      </c>
      <c r="U11" s="116">
        <v>0</v>
      </c>
      <c r="V11" s="82">
        <v>60</v>
      </c>
      <c r="W11" s="118">
        <v>0</v>
      </c>
      <c r="X11" s="118">
        <v>0</v>
      </c>
      <c r="Y11" s="118">
        <v>1</v>
      </c>
      <c r="Z11" s="118">
        <v>0</v>
      </c>
      <c r="AA11" s="118">
        <v>0</v>
      </c>
      <c r="AB11" s="118">
        <v>0</v>
      </c>
      <c r="AC11" s="118">
        <v>0</v>
      </c>
      <c r="AD11" s="118">
        <v>0</v>
      </c>
      <c r="AE11" s="118">
        <v>0</v>
      </c>
      <c r="AF11" s="118">
        <v>0</v>
      </c>
      <c r="AG11" s="118">
        <v>0</v>
      </c>
      <c r="AH11" s="118">
        <v>0</v>
      </c>
      <c r="AI11" s="118">
        <v>0</v>
      </c>
      <c r="AJ11" s="118">
        <v>0</v>
      </c>
      <c r="AK11" s="118">
        <v>0</v>
      </c>
      <c r="AL11" s="187">
        <v>0.8</v>
      </c>
      <c r="AM11" s="187">
        <v>0.2</v>
      </c>
      <c r="AN11" s="187">
        <v>0</v>
      </c>
      <c r="AO11" s="187">
        <v>0</v>
      </c>
      <c r="AP11" s="118">
        <v>0</v>
      </c>
      <c r="AQ11" s="118">
        <v>0</v>
      </c>
      <c r="AR11" s="118">
        <v>0.1</v>
      </c>
      <c r="AS11" s="118">
        <v>0.3</v>
      </c>
      <c r="AT11" s="118">
        <v>0.6</v>
      </c>
      <c r="AU11" s="118">
        <v>0.1</v>
      </c>
      <c r="AV11" s="118">
        <v>0</v>
      </c>
      <c r="AW11" s="118">
        <v>0</v>
      </c>
      <c r="AX11" s="118">
        <v>0</v>
      </c>
      <c r="AY11" s="118">
        <v>0.1</v>
      </c>
      <c r="AZ11" s="118">
        <v>0</v>
      </c>
      <c r="BA11" s="118">
        <v>0</v>
      </c>
      <c r="BB11" s="118">
        <v>0.1</v>
      </c>
      <c r="BC11" s="118">
        <v>0.1</v>
      </c>
      <c r="BD11" s="118">
        <v>0.1</v>
      </c>
      <c r="BE11" s="118">
        <v>0</v>
      </c>
      <c r="BF11" s="118">
        <v>0</v>
      </c>
      <c r="BG11" s="118">
        <v>0</v>
      </c>
      <c r="BH11" s="118">
        <v>0</v>
      </c>
      <c r="BI11" s="118">
        <v>0.1</v>
      </c>
      <c r="BJ11" s="118">
        <v>0</v>
      </c>
      <c r="BK11" s="118">
        <v>0</v>
      </c>
      <c r="BL11" s="118">
        <v>0.15</v>
      </c>
      <c r="BM11" s="118">
        <v>0.15</v>
      </c>
      <c r="BN11" s="118">
        <v>0.1</v>
      </c>
      <c r="BO11" s="118">
        <v>0</v>
      </c>
      <c r="BP11" s="87">
        <v>45000</v>
      </c>
      <c r="BQ11" s="3">
        <v>3</v>
      </c>
      <c r="BR11" s="3">
        <v>8</v>
      </c>
      <c r="BS11" s="87">
        <v>19753</v>
      </c>
      <c r="BT11" s="87">
        <v>0</v>
      </c>
      <c r="BU11" s="87">
        <v>36444.6967465774</v>
      </c>
      <c r="BV11" s="181" t="s">
        <v>407</v>
      </c>
      <c r="BW11" s="87">
        <v>13.524688600414001</v>
      </c>
      <c r="BX11" s="87">
        <v>492903.174633983</v>
      </c>
      <c r="BY11" s="181" t="s">
        <v>408</v>
      </c>
      <c r="BZ11" s="87">
        <v>41521.052248799198</v>
      </c>
      <c r="CA11" s="181" t="s">
        <v>420</v>
      </c>
      <c r="CB11" s="87">
        <v>3937.4104553267698</v>
      </c>
    </row>
    <row r="12" spans="1:81" x14ac:dyDescent="0.5">
      <c r="A12" s="82" t="s">
        <v>265</v>
      </c>
      <c r="B12" s="3" t="s">
        <v>491</v>
      </c>
      <c r="C12" s="3" t="s">
        <v>496</v>
      </c>
      <c r="D12" s="82">
        <v>115</v>
      </c>
      <c r="E12" s="82">
        <v>1150</v>
      </c>
      <c r="F12" s="3" t="s">
        <v>323</v>
      </c>
      <c r="G12" s="82" t="s">
        <v>86</v>
      </c>
      <c r="H12" s="3" t="s">
        <v>121</v>
      </c>
      <c r="I12" s="116">
        <v>0.1</v>
      </c>
      <c r="J12" s="116">
        <v>0.9</v>
      </c>
      <c r="K12" s="116">
        <v>0</v>
      </c>
      <c r="L12" s="116">
        <v>0</v>
      </c>
      <c r="M12" s="116">
        <v>0</v>
      </c>
      <c r="N12" s="116">
        <v>0.7</v>
      </c>
      <c r="O12" s="116">
        <v>0.05</v>
      </c>
      <c r="P12" s="116">
        <v>0.1</v>
      </c>
      <c r="Q12" s="116">
        <v>0.15</v>
      </c>
      <c r="R12" s="116">
        <v>0</v>
      </c>
      <c r="S12" s="116">
        <v>0</v>
      </c>
      <c r="T12" s="116">
        <v>1</v>
      </c>
      <c r="U12" s="116">
        <v>0</v>
      </c>
      <c r="V12" s="82">
        <v>200</v>
      </c>
      <c r="W12" s="118">
        <v>0</v>
      </c>
      <c r="X12" s="118">
        <v>0</v>
      </c>
      <c r="Y12" s="118">
        <v>1</v>
      </c>
      <c r="Z12" s="118">
        <v>0</v>
      </c>
      <c r="AA12" s="118">
        <v>0</v>
      </c>
      <c r="AB12" s="118">
        <v>0</v>
      </c>
      <c r="AC12" s="118">
        <v>0</v>
      </c>
      <c r="AD12" s="118">
        <v>0</v>
      </c>
      <c r="AE12" s="118">
        <v>0</v>
      </c>
      <c r="AF12" s="118">
        <v>0</v>
      </c>
      <c r="AG12" s="118">
        <v>0</v>
      </c>
      <c r="AH12" s="118">
        <v>0</v>
      </c>
      <c r="AI12" s="118">
        <v>0</v>
      </c>
      <c r="AJ12" s="118">
        <v>0</v>
      </c>
      <c r="AK12" s="118">
        <v>0</v>
      </c>
      <c r="AL12" s="187">
        <v>0</v>
      </c>
      <c r="AM12" s="187">
        <v>0.1</v>
      </c>
      <c r="AN12" s="187">
        <v>0.5</v>
      </c>
      <c r="AO12" s="187">
        <v>0.4</v>
      </c>
      <c r="AP12" s="118">
        <v>0</v>
      </c>
      <c r="AQ12" s="118">
        <v>0.5</v>
      </c>
      <c r="AR12" s="118">
        <v>0.5</v>
      </c>
      <c r="AS12" s="118">
        <v>0</v>
      </c>
      <c r="AT12" s="118">
        <v>0</v>
      </c>
      <c r="AU12" s="118">
        <v>0.3</v>
      </c>
      <c r="AV12" s="118">
        <v>0</v>
      </c>
      <c r="AW12" s="118">
        <v>0</v>
      </c>
      <c r="AX12" s="118">
        <v>0</v>
      </c>
      <c r="AY12" s="118">
        <v>0</v>
      </c>
      <c r="AZ12" s="118">
        <v>0</v>
      </c>
      <c r="BA12" s="118">
        <v>0</v>
      </c>
      <c r="BB12" s="118">
        <v>0</v>
      </c>
      <c r="BC12" s="118">
        <v>0.2</v>
      </c>
      <c r="BD12" s="118">
        <v>0.1</v>
      </c>
      <c r="BE12" s="118">
        <v>0</v>
      </c>
      <c r="BF12" s="118">
        <v>0</v>
      </c>
      <c r="BG12" s="118">
        <v>0</v>
      </c>
      <c r="BH12" s="118">
        <v>0</v>
      </c>
      <c r="BI12" s="118">
        <v>0.05</v>
      </c>
      <c r="BJ12" s="118">
        <v>0</v>
      </c>
      <c r="BK12" s="118">
        <v>0</v>
      </c>
      <c r="BL12" s="118">
        <v>0.05</v>
      </c>
      <c r="BM12" s="118">
        <v>0.15</v>
      </c>
      <c r="BN12" s="118">
        <v>0.15</v>
      </c>
      <c r="BO12" s="118">
        <v>0</v>
      </c>
      <c r="BP12" s="87">
        <v>100000</v>
      </c>
      <c r="BQ12" s="3">
        <v>10</v>
      </c>
      <c r="BR12" s="3">
        <v>20</v>
      </c>
      <c r="BS12" s="87">
        <v>7945</v>
      </c>
      <c r="BT12" s="87">
        <v>7073</v>
      </c>
      <c r="BU12" s="87">
        <v>8623.0294484956903</v>
      </c>
      <c r="BV12" s="181" t="s">
        <v>419</v>
      </c>
      <c r="BW12" s="87">
        <v>7.1485912909384197</v>
      </c>
      <c r="BX12" s="87">
        <v>61642.513217021798</v>
      </c>
      <c r="BY12" s="181" t="s">
        <v>420</v>
      </c>
      <c r="BZ12" s="87">
        <v>87974.145682151706</v>
      </c>
      <c r="CA12" s="181" t="s">
        <v>551</v>
      </c>
      <c r="CB12" s="87">
        <v>10860</v>
      </c>
    </row>
    <row r="13" spans="1:81" x14ac:dyDescent="0.5">
      <c r="A13" s="82" t="s">
        <v>266</v>
      </c>
      <c r="B13" s="3" t="s">
        <v>559</v>
      </c>
      <c r="C13" s="3" t="s">
        <v>496</v>
      </c>
      <c r="D13" s="82">
        <v>160</v>
      </c>
      <c r="E13" s="82">
        <v>1600</v>
      </c>
      <c r="F13" s="3" t="s">
        <v>323</v>
      </c>
      <c r="G13" s="82" t="s">
        <v>561</v>
      </c>
      <c r="H13" s="3" t="s">
        <v>147</v>
      </c>
      <c r="I13" s="116">
        <v>0.1</v>
      </c>
      <c r="J13" s="116">
        <v>0.9</v>
      </c>
      <c r="K13" s="116">
        <v>0</v>
      </c>
      <c r="L13" s="116">
        <v>0</v>
      </c>
      <c r="M13" s="116">
        <v>0</v>
      </c>
      <c r="N13" s="116">
        <v>0.7</v>
      </c>
      <c r="O13" s="116">
        <v>0.05</v>
      </c>
      <c r="P13" s="116">
        <v>0.1</v>
      </c>
      <c r="Q13" s="116">
        <v>0.15</v>
      </c>
      <c r="R13" s="116">
        <v>0</v>
      </c>
      <c r="S13" s="116">
        <v>0</v>
      </c>
      <c r="T13" s="116">
        <v>1</v>
      </c>
      <c r="U13" s="116">
        <v>0</v>
      </c>
      <c r="V13" s="82">
        <v>200</v>
      </c>
      <c r="W13" s="118">
        <v>0</v>
      </c>
      <c r="X13" s="118">
        <v>0</v>
      </c>
      <c r="Y13" s="118">
        <v>0</v>
      </c>
      <c r="Z13" s="118">
        <v>0</v>
      </c>
      <c r="AA13" s="118">
        <v>0</v>
      </c>
      <c r="AB13" s="118">
        <v>1</v>
      </c>
      <c r="AC13" s="118">
        <v>0</v>
      </c>
      <c r="AD13" s="118">
        <v>0</v>
      </c>
      <c r="AE13" s="118">
        <v>0</v>
      </c>
      <c r="AF13" s="118">
        <v>0</v>
      </c>
      <c r="AG13" s="118">
        <v>0</v>
      </c>
      <c r="AH13" s="118">
        <v>0</v>
      </c>
      <c r="AI13" s="118">
        <v>0</v>
      </c>
      <c r="AJ13" s="118">
        <v>0</v>
      </c>
      <c r="AK13" s="118">
        <v>0</v>
      </c>
      <c r="AL13" s="187">
        <v>0</v>
      </c>
      <c r="AM13" s="187">
        <v>0.1</v>
      </c>
      <c r="AN13" s="187">
        <v>0.5</v>
      </c>
      <c r="AO13" s="187">
        <v>0.4</v>
      </c>
      <c r="AP13" s="118">
        <v>0</v>
      </c>
      <c r="AQ13" s="118">
        <v>0.5</v>
      </c>
      <c r="AR13" s="118">
        <v>0.5</v>
      </c>
      <c r="AS13" s="118">
        <v>0</v>
      </c>
      <c r="AT13" s="118">
        <v>0</v>
      </c>
      <c r="AU13" s="118">
        <v>0.3</v>
      </c>
      <c r="AV13" s="118">
        <v>0</v>
      </c>
      <c r="AW13" s="118">
        <v>0</v>
      </c>
      <c r="AX13" s="118">
        <v>0</v>
      </c>
      <c r="AY13" s="118">
        <v>0</v>
      </c>
      <c r="AZ13" s="118">
        <v>0</v>
      </c>
      <c r="BA13" s="118">
        <v>0</v>
      </c>
      <c r="BB13" s="118">
        <v>0</v>
      </c>
      <c r="BC13" s="118">
        <v>0.2</v>
      </c>
      <c r="BD13" s="118">
        <v>0.1</v>
      </c>
      <c r="BE13" s="118">
        <v>0</v>
      </c>
      <c r="BF13" s="118">
        <v>0</v>
      </c>
      <c r="BG13" s="118">
        <v>0</v>
      </c>
      <c r="BH13" s="118">
        <v>0</v>
      </c>
      <c r="BI13" s="118">
        <v>0.05</v>
      </c>
      <c r="BJ13" s="118">
        <v>0</v>
      </c>
      <c r="BK13" s="118">
        <v>0</v>
      </c>
      <c r="BL13" s="118">
        <v>0.05</v>
      </c>
      <c r="BM13" s="118">
        <v>0.15</v>
      </c>
      <c r="BN13" s="118">
        <v>0.15</v>
      </c>
      <c r="BO13" s="118">
        <v>0</v>
      </c>
      <c r="BP13" s="87">
        <v>100000</v>
      </c>
      <c r="BQ13" s="3">
        <v>10</v>
      </c>
      <c r="BR13" s="3">
        <v>20</v>
      </c>
      <c r="BS13" s="87">
        <v>7945</v>
      </c>
      <c r="BT13" s="87">
        <v>5161.2</v>
      </c>
      <c r="BU13" s="87">
        <v>3676.1007292353602</v>
      </c>
      <c r="BV13" s="181" t="s">
        <v>418</v>
      </c>
      <c r="BW13" s="87">
        <v>7.1485912909384197</v>
      </c>
      <c r="BX13" s="87">
        <v>26278.941657624298</v>
      </c>
      <c r="BY13" s="181" t="s">
        <v>407</v>
      </c>
      <c r="BZ13" s="87">
        <v>102069.27315402401</v>
      </c>
      <c r="CA13" s="181" t="s">
        <v>551</v>
      </c>
      <c r="CB13" s="87">
        <v>15090</v>
      </c>
    </row>
    <row r="14" spans="1:81" x14ac:dyDescent="0.5">
      <c r="A14" s="82" t="s">
        <v>267</v>
      </c>
      <c r="B14" s="3" t="s">
        <v>492</v>
      </c>
      <c r="C14" s="3" t="s">
        <v>496</v>
      </c>
      <c r="D14" s="82">
        <v>30</v>
      </c>
      <c r="E14" s="82">
        <v>300</v>
      </c>
      <c r="F14" s="3" t="s">
        <v>324</v>
      </c>
      <c r="G14" s="82" t="s">
        <v>87</v>
      </c>
      <c r="H14" s="3" t="s">
        <v>121</v>
      </c>
      <c r="I14" s="116">
        <v>0.08</v>
      </c>
      <c r="J14" s="116">
        <v>0.92</v>
      </c>
      <c r="K14" s="116">
        <v>0</v>
      </c>
      <c r="L14" s="116">
        <v>0</v>
      </c>
      <c r="M14" s="116">
        <v>0</v>
      </c>
      <c r="N14" s="116">
        <v>0.7</v>
      </c>
      <c r="O14" s="116">
        <v>0.05</v>
      </c>
      <c r="P14" s="116">
        <v>0.1</v>
      </c>
      <c r="Q14" s="116">
        <v>0.15</v>
      </c>
      <c r="R14" s="116">
        <v>0</v>
      </c>
      <c r="S14" s="116">
        <v>0</v>
      </c>
      <c r="T14" s="116">
        <v>1</v>
      </c>
      <c r="U14" s="116">
        <v>0</v>
      </c>
      <c r="V14" s="82">
        <v>300</v>
      </c>
      <c r="W14" s="118">
        <v>0</v>
      </c>
      <c r="X14" s="118">
        <v>0</v>
      </c>
      <c r="Y14" s="118">
        <v>1</v>
      </c>
      <c r="Z14" s="118">
        <v>0</v>
      </c>
      <c r="AA14" s="118">
        <v>0</v>
      </c>
      <c r="AB14" s="118">
        <v>0</v>
      </c>
      <c r="AC14" s="118">
        <v>0</v>
      </c>
      <c r="AD14" s="118">
        <v>0</v>
      </c>
      <c r="AE14" s="118">
        <v>0</v>
      </c>
      <c r="AF14" s="118">
        <v>0</v>
      </c>
      <c r="AG14" s="118">
        <v>0</v>
      </c>
      <c r="AH14" s="118">
        <v>0</v>
      </c>
      <c r="AI14" s="118">
        <v>0</v>
      </c>
      <c r="AJ14" s="118">
        <v>0</v>
      </c>
      <c r="AK14" s="118">
        <v>0</v>
      </c>
      <c r="AL14" s="187">
        <v>0</v>
      </c>
      <c r="AM14" s="187">
        <v>0</v>
      </c>
      <c r="AN14" s="187">
        <v>0</v>
      </c>
      <c r="AO14" s="187">
        <v>1</v>
      </c>
      <c r="AP14" s="118">
        <v>0.7</v>
      </c>
      <c r="AQ14" s="118">
        <v>0.3</v>
      </c>
      <c r="AR14" s="118">
        <v>0</v>
      </c>
      <c r="AS14" s="118">
        <v>0</v>
      </c>
      <c r="AT14" s="118">
        <v>0</v>
      </c>
      <c r="AU14" s="118">
        <v>0.8</v>
      </c>
      <c r="AV14" s="118">
        <v>0</v>
      </c>
      <c r="AW14" s="118">
        <v>0</v>
      </c>
      <c r="AX14" s="118">
        <v>0</v>
      </c>
      <c r="AY14" s="118">
        <v>0</v>
      </c>
      <c r="AZ14" s="118">
        <v>0</v>
      </c>
      <c r="BA14" s="118">
        <v>0</v>
      </c>
      <c r="BB14" s="118">
        <v>0</v>
      </c>
      <c r="BC14" s="118">
        <v>0</v>
      </c>
      <c r="BD14" s="118">
        <v>0</v>
      </c>
      <c r="BE14" s="118">
        <v>0</v>
      </c>
      <c r="BF14" s="118">
        <v>0</v>
      </c>
      <c r="BG14" s="118">
        <v>0</v>
      </c>
      <c r="BH14" s="118">
        <v>0</v>
      </c>
      <c r="BI14" s="118">
        <v>0</v>
      </c>
      <c r="BJ14" s="118">
        <v>0</v>
      </c>
      <c r="BK14" s="118">
        <v>0</v>
      </c>
      <c r="BL14" s="118">
        <v>0</v>
      </c>
      <c r="BM14" s="118">
        <v>0.1</v>
      </c>
      <c r="BN14" s="118">
        <v>0.1</v>
      </c>
      <c r="BO14" s="118">
        <v>0</v>
      </c>
      <c r="BP14" s="87">
        <v>40000</v>
      </c>
      <c r="BQ14" s="3">
        <v>8</v>
      </c>
      <c r="BR14" s="3">
        <v>20</v>
      </c>
      <c r="BS14" s="87">
        <v>7945</v>
      </c>
      <c r="BT14" s="87">
        <v>747.5</v>
      </c>
      <c r="BU14" s="87">
        <v>4629.8658291976299</v>
      </c>
      <c r="BV14" s="181" t="s">
        <v>416</v>
      </c>
      <c r="BW14" s="87">
        <v>4.44400740547196</v>
      </c>
      <c r="BX14" s="87">
        <v>20575.158031295901</v>
      </c>
      <c r="BY14" s="181" t="s">
        <v>453</v>
      </c>
      <c r="BZ14" s="87">
        <v>67256.4366575022</v>
      </c>
      <c r="CA14" s="181" t="s">
        <v>420</v>
      </c>
      <c r="CB14" s="87">
        <v>2632.6666666666702</v>
      </c>
    </row>
    <row r="15" spans="1:81" x14ac:dyDescent="0.5">
      <c r="A15" s="82" t="s">
        <v>268</v>
      </c>
      <c r="B15" s="3" t="s">
        <v>493</v>
      </c>
      <c r="C15" s="3" t="s">
        <v>496</v>
      </c>
      <c r="D15" s="82">
        <v>30</v>
      </c>
      <c r="E15" s="82">
        <v>300</v>
      </c>
      <c r="F15" s="3" t="s">
        <v>324</v>
      </c>
      <c r="G15" s="82" t="s">
        <v>87</v>
      </c>
      <c r="H15" s="3" t="s">
        <v>121</v>
      </c>
      <c r="I15" s="116">
        <v>0.2</v>
      </c>
      <c r="J15" s="116">
        <v>0.8</v>
      </c>
      <c r="K15" s="116">
        <v>0</v>
      </c>
      <c r="L15" s="116">
        <v>0</v>
      </c>
      <c r="M15" s="116">
        <v>0</v>
      </c>
      <c r="N15" s="116">
        <v>0.7</v>
      </c>
      <c r="O15" s="116">
        <v>0.05</v>
      </c>
      <c r="P15" s="116">
        <v>0.1</v>
      </c>
      <c r="Q15" s="116">
        <v>0.15</v>
      </c>
      <c r="R15" s="116">
        <v>0</v>
      </c>
      <c r="S15" s="116">
        <v>0</v>
      </c>
      <c r="T15" s="116">
        <v>1</v>
      </c>
      <c r="U15" s="116">
        <v>0</v>
      </c>
      <c r="V15" s="82">
        <v>100</v>
      </c>
      <c r="W15" s="118">
        <v>0</v>
      </c>
      <c r="X15" s="118">
        <v>0</v>
      </c>
      <c r="Y15" s="118">
        <v>0.85</v>
      </c>
      <c r="Z15" s="118">
        <v>0</v>
      </c>
      <c r="AA15" s="118">
        <v>0</v>
      </c>
      <c r="AB15" s="118">
        <v>0</v>
      </c>
      <c r="AC15" s="118">
        <v>0</v>
      </c>
      <c r="AD15" s="118">
        <v>0</v>
      </c>
      <c r="AE15" s="118">
        <v>0</v>
      </c>
      <c r="AF15" s="118">
        <v>0</v>
      </c>
      <c r="AG15" s="118">
        <v>0</v>
      </c>
      <c r="AH15" s="118">
        <v>0.15</v>
      </c>
      <c r="AI15" s="118">
        <v>0</v>
      </c>
      <c r="AJ15" s="118">
        <v>0</v>
      </c>
      <c r="AK15" s="118">
        <v>0</v>
      </c>
      <c r="AL15" s="187">
        <v>0</v>
      </c>
      <c r="AM15" s="187">
        <v>0</v>
      </c>
      <c r="AN15" s="187">
        <v>0</v>
      </c>
      <c r="AO15" s="187">
        <v>1</v>
      </c>
      <c r="AP15" s="118">
        <v>0.7</v>
      </c>
      <c r="AQ15" s="118">
        <v>0.3</v>
      </c>
      <c r="AR15" s="118">
        <v>0</v>
      </c>
      <c r="AS15" s="118">
        <v>0</v>
      </c>
      <c r="AT15" s="118">
        <v>0</v>
      </c>
      <c r="AU15" s="118">
        <v>0.8</v>
      </c>
      <c r="AV15" s="118">
        <v>0</v>
      </c>
      <c r="AW15" s="118">
        <v>0</v>
      </c>
      <c r="AX15" s="118">
        <v>0</v>
      </c>
      <c r="AY15" s="118">
        <v>0</v>
      </c>
      <c r="AZ15" s="118">
        <v>0</v>
      </c>
      <c r="BA15" s="118">
        <v>0</v>
      </c>
      <c r="BB15" s="118">
        <v>0</v>
      </c>
      <c r="BC15" s="118">
        <v>0</v>
      </c>
      <c r="BD15" s="118">
        <v>0</v>
      </c>
      <c r="BE15" s="118">
        <v>0</v>
      </c>
      <c r="BF15" s="118">
        <v>0</v>
      </c>
      <c r="BG15" s="118">
        <v>0</v>
      </c>
      <c r="BH15" s="118">
        <v>0</v>
      </c>
      <c r="BI15" s="118">
        <v>0</v>
      </c>
      <c r="BJ15" s="118">
        <v>0</v>
      </c>
      <c r="BK15" s="118">
        <v>0</v>
      </c>
      <c r="BL15" s="118">
        <v>0</v>
      </c>
      <c r="BM15" s="118">
        <v>0.1</v>
      </c>
      <c r="BN15" s="118">
        <v>0.1</v>
      </c>
      <c r="BO15" s="118">
        <v>0</v>
      </c>
      <c r="BP15" s="87">
        <v>40000</v>
      </c>
      <c r="BQ15" s="3">
        <v>8</v>
      </c>
      <c r="BR15" s="3">
        <v>20</v>
      </c>
      <c r="BS15" s="87">
        <v>7945</v>
      </c>
      <c r="BT15" s="87">
        <v>1035</v>
      </c>
      <c r="BU15" s="87">
        <v>4297.6971490372898</v>
      </c>
      <c r="BV15" s="181" t="s">
        <v>416</v>
      </c>
      <c r="BW15" s="87">
        <v>4.44400740547196</v>
      </c>
      <c r="BX15" s="87">
        <v>19098.997956797499</v>
      </c>
      <c r="BY15" s="181" t="s">
        <v>453</v>
      </c>
      <c r="BZ15" s="87">
        <v>67256.4366575022</v>
      </c>
      <c r="CA15" s="181" t="s">
        <v>420</v>
      </c>
      <c r="CB15" s="87">
        <v>3890</v>
      </c>
    </row>
    <row r="16" spans="1:81" x14ac:dyDescent="0.5">
      <c r="A16" s="82" t="s">
        <v>269</v>
      </c>
      <c r="B16" s="3" t="s">
        <v>494</v>
      </c>
      <c r="C16" s="3" t="s">
        <v>496</v>
      </c>
      <c r="D16" s="82">
        <v>10</v>
      </c>
      <c r="E16" s="82">
        <v>100</v>
      </c>
      <c r="F16" s="3" t="s">
        <v>324</v>
      </c>
      <c r="G16" s="82" t="s">
        <v>86</v>
      </c>
      <c r="H16" s="3" t="s">
        <v>121</v>
      </c>
      <c r="I16" s="116">
        <v>0.2</v>
      </c>
      <c r="J16" s="116">
        <v>0.8</v>
      </c>
      <c r="K16" s="116">
        <v>0</v>
      </c>
      <c r="L16" s="116">
        <v>0</v>
      </c>
      <c r="M16" s="116">
        <v>0</v>
      </c>
      <c r="N16" s="116">
        <v>0.8</v>
      </c>
      <c r="O16" s="116">
        <v>0</v>
      </c>
      <c r="P16" s="116">
        <v>0</v>
      </c>
      <c r="Q16" s="116">
        <v>0.2</v>
      </c>
      <c r="R16" s="116">
        <v>0</v>
      </c>
      <c r="S16" s="116">
        <v>0</v>
      </c>
      <c r="T16" s="116">
        <v>1</v>
      </c>
      <c r="U16" s="116">
        <v>0</v>
      </c>
      <c r="V16" s="82">
        <v>50</v>
      </c>
      <c r="W16" s="118">
        <v>0</v>
      </c>
      <c r="X16" s="118">
        <v>0</v>
      </c>
      <c r="Y16" s="118">
        <v>1</v>
      </c>
      <c r="Z16" s="118">
        <v>0</v>
      </c>
      <c r="AA16" s="118">
        <v>0</v>
      </c>
      <c r="AB16" s="118">
        <v>0</v>
      </c>
      <c r="AC16" s="118">
        <v>0</v>
      </c>
      <c r="AD16" s="118">
        <v>0</v>
      </c>
      <c r="AE16" s="118">
        <v>0</v>
      </c>
      <c r="AF16" s="118">
        <v>0</v>
      </c>
      <c r="AG16" s="118">
        <v>0</v>
      </c>
      <c r="AH16" s="118">
        <v>0</v>
      </c>
      <c r="AI16" s="118">
        <v>0</v>
      </c>
      <c r="AJ16" s="118">
        <v>0</v>
      </c>
      <c r="AK16" s="118">
        <v>0</v>
      </c>
      <c r="AL16" s="187">
        <v>0.3</v>
      </c>
      <c r="AM16" s="187">
        <v>0.3</v>
      </c>
      <c r="AN16" s="187">
        <v>0.4</v>
      </c>
      <c r="AO16" s="187">
        <v>0</v>
      </c>
      <c r="AP16" s="118">
        <v>0</v>
      </c>
      <c r="AQ16" s="118">
        <v>0</v>
      </c>
      <c r="AR16" s="118">
        <v>0.3</v>
      </c>
      <c r="AS16" s="118">
        <v>0.5</v>
      </c>
      <c r="AT16" s="118">
        <v>0.2</v>
      </c>
      <c r="AU16" s="118">
        <v>0.3</v>
      </c>
      <c r="AV16" s="118">
        <v>0</v>
      </c>
      <c r="AW16" s="118">
        <v>0</v>
      </c>
      <c r="AX16" s="118">
        <v>0</v>
      </c>
      <c r="AY16" s="118">
        <v>0</v>
      </c>
      <c r="AZ16" s="118">
        <v>0</v>
      </c>
      <c r="BA16" s="118">
        <v>0</v>
      </c>
      <c r="BB16" s="118">
        <v>0</v>
      </c>
      <c r="BC16" s="118">
        <v>0.2</v>
      </c>
      <c r="BD16" s="118">
        <v>0.1</v>
      </c>
      <c r="BE16" s="118">
        <v>0</v>
      </c>
      <c r="BF16" s="118">
        <v>0</v>
      </c>
      <c r="BG16" s="118">
        <v>0</v>
      </c>
      <c r="BH16" s="118">
        <v>0</v>
      </c>
      <c r="BI16" s="118">
        <v>0.05</v>
      </c>
      <c r="BJ16" s="118">
        <v>0</v>
      </c>
      <c r="BK16" s="118">
        <v>0</v>
      </c>
      <c r="BL16" s="118">
        <v>0.05</v>
      </c>
      <c r="BM16" s="118">
        <v>0.15</v>
      </c>
      <c r="BN16" s="118">
        <v>0.15</v>
      </c>
      <c r="BO16" s="118">
        <v>0</v>
      </c>
      <c r="BP16" s="87">
        <v>40000</v>
      </c>
      <c r="BQ16" s="3">
        <v>3</v>
      </c>
      <c r="BR16" s="3">
        <v>20</v>
      </c>
      <c r="BS16" s="87">
        <v>7945</v>
      </c>
      <c r="BT16" s="87">
        <v>586.5</v>
      </c>
      <c r="BU16" s="87">
        <v>21926.241036646799</v>
      </c>
      <c r="BV16" s="181" t="s">
        <v>453</v>
      </c>
      <c r="BW16" s="87">
        <v>12.536970168417101</v>
      </c>
      <c r="BX16" s="87">
        <v>274888.62978196301</v>
      </c>
      <c r="BY16" s="181" t="s">
        <v>415</v>
      </c>
      <c r="BZ16" s="87">
        <v>33499.087476505803</v>
      </c>
      <c r="CA16" s="181" t="s">
        <v>407</v>
      </c>
      <c r="CB16" s="87">
        <v>1546.6666666666699</v>
      </c>
    </row>
    <row r="17" spans="1:80" x14ac:dyDescent="0.5">
      <c r="A17" s="82" t="s">
        <v>270</v>
      </c>
      <c r="B17" s="3" t="s">
        <v>495</v>
      </c>
      <c r="C17" s="3" t="s">
        <v>496</v>
      </c>
      <c r="D17" s="82">
        <v>20</v>
      </c>
      <c r="E17" s="82">
        <v>200</v>
      </c>
      <c r="F17" s="3" t="s">
        <v>324</v>
      </c>
      <c r="G17" s="82" t="s">
        <v>86</v>
      </c>
      <c r="H17" s="3" t="s">
        <v>121</v>
      </c>
      <c r="I17" s="116">
        <v>0.04</v>
      </c>
      <c r="J17" s="116">
        <v>0.96</v>
      </c>
      <c r="K17" s="116">
        <v>0</v>
      </c>
      <c r="L17" s="116">
        <v>0</v>
      </c>
      <c r="M17" s="116">
        <v>0</v>
      </c>
      <c r="N17" s="116">
        <v>0.7</v>
      </c>
      <c r="O17" s="116">
        <v>0.05</v>
      </c>
      <c r="P17" s="116">
        <v>0.1</v>
      </c>
      <c r="Q17" s="116">
        <v>0.15</v>
      </c>
      <c r="R17" s="116">
        <v>0</v>
      </c>
      <c r="S17" s="116">
        <v>0</v>
      </c>
      <c r="T17" s="116">
        <v>1</v>
      </c>
      <c r="U17" s="116">
        <v>0</v>
      </c>
      <c r="V17" s="82">
        <v>300</v>
      </c>
      <c r="W17" s="118">
        <v>0</v>
      </c>
      <c r="X17" s="118">
        <v>0</v>
      </c>
      <c r="Y17" s="118">
        <v>1</v>
      </c>
      <c r="Z17" s="118">
        <v>0</v>
      </c>
      <c r="AA17" s="118">
        <v>0</v>
      </c>
      <c r="AB17" s="118">
        <v>0</v>
      </c>
      <c r="AC17" s="118">
        <v>0</v>
      </c>
      <c r="AD17" s="118">
        <v>0</v>
      </c>
      <c r="AE17" s="118">
        <v>0</v>
      </c>
      <c r="AF17" s="118">
        <v>0</v>
      </c>
      <c r="AG17" s="118">
        <v>0</v>
      </c>
      <c r="AH17" s="118">
        <v>0</v>
      </c>
      <c r="AI17" s="118">
        <v>0</v>
      </c>
      <c r="AJ17" s="118">
        <v>0</v>
      </c>
      <c r="AK17" s="118">
        <v>0</v>
      </c>
      <c r="AL17" s="187">
        <v>0</v>
      </c>
      <c r="AM17" s="187">
        <v>0.4</v>
      </c>
      <c r="AN17" s="187">
        <v>0.6</v>
      </c>
      <c r="AO17" s="187">
        <v>0</v>
      </c>
      <c r="AP17" s="118">
        <v>0</v>
      </c>
      <c r="AQ17" s="118">
        <v>0</v>
      </c>
      <c r="AR17" s="118">
        <v>0.5</v>
      </c>
      <c r="AS17" s="118">
        <v>0.5</v>
      </c>
      <c r="AT17" s="118">
        <v>0</v>
      </c>
      <c r="AU17" s="118">
        <v>0</v>
      </c>
      <c r="AV17" s="118">
        <v>0</v>
      </c>
      <c r="AW17" s="118">
        <v>0</v>
      </c>
      <c r="AX17" s="118">
        <v>0</v>
      </c>
      <c r="AY17" s="118">
        <v>0</v>
      </c>
      <c r="AZ17" s="118">
        <v>0</v>
      </c>
      <c r="BA17" s="118">
        <v>0</v>
      </c>
      <c r="BB17" s="118">
        <v>0</v>
      </c>
      <c r="BC17" s="118">
        <v>0.5</v>
      </c>
      <c r="BD17" s="118">
        <v>0.1</v>
      </c>
      <c r="BE17" s="118">
        <v>0</v>
      </c>
      <c r="BF17" s="118">
        <v>0</v>
      </c>
      <c r="BG17" s="118">
        <v>0</v>
      </c>
      <c r="BH17" s="118">
        <v>0</v>
      </c>
      <c r="BI17" s="118">
        <v>0</v>
      </c>
      <c r="BJ17" s="118">
        <v>0</v>
      </c>
      <c r="BK17" s="118">
        <v>0</v>
      </c>
      <c r="BL17" s="118">
        <v>0.1</v>
      </c>
      <c r="BM17" s="118">
        <v>0.15</v>
      </c>
      <c r="BN17" s="118">
        <v>0.15</v>
      </c>
      <c r="BO17" s="118">
        <v>0</v>
      </c>
      <c r="BP17" s="87">
        <v>40000</v>
      </c>
      <c r="BQ17" s="3">
        <v>8</v>
      </c>
      <c r="BR17" s="3">
        <v>20</v>
      </c>
      <c r="BS17" s="87">
        <v>7945</v>
      </c>
      <c r="BT17" s="87">
        <v>632.5</v>
      </c>
      <c r="BU17" s="87">
        <v>13614.4839726183</v>
      </c>
      <c r="BV17" s="181" t="s">
        <v>419</v>
      </c>
      <c r="BW17" s="87">
        <v>11.535982757171199</v>
      </c>
      <c r="BX17" s="87">
        <v>157056.45235590701</v>
      </c>
      <c r="BY17" s="181" t="s">
        <v>417</v>
      </c>
      <c r="BZ17" s="87">
        <v>33689.565960607797</v>
      </c>
      <c r="CA17" s="181" t="s">
        <v>407</v>
      </c>
      <c r="CB17" s="87">
        <v>1488.6666666666699</v>
      </c>
    </row>
    <row r="18" spans="1:80" x14ac:dyDescent="0.5">
      <c r="A18" s="82" t="s">
        <v>271</v>
      </c>
      <c r="B18" s="3" t="s">
        <v>519</v>
      </c>
      <c r="C18" s="3" t="s">
        <v>558</v>
      </c>
      <c r="D18" s="82"/>
      <c r="E18" s="82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P18" s="118"/>
      <c r="AQ18" s="118"/>
      <c r="AR18" s="118"/>
      <c r="AS18" s="118"/>
      <c r="AT18" s="118"/>
      <c r="BP18" s="87"/>
      <c r="BS18" s="87"/>
      <c r="BT18" s="87"/>
      <c r="BU18" s="87"/>
      <c r="BV18" s="181"/>
      <c r="BW18" s="87"/>
      <c r="BX18" s="87"/>
      <c r="BY18" s="181"/>
      <c r="BZ18" s="87"/>
      <c r="CA18" s="181"/>
      <c r="CB18" s="87"/>
    </row>
    <row r="19" spans="1:80" x14ac:dyDescent="0.5">
      <c r="A19" s="82" t="s">
        <v>272</v>
      </c>
      <c r="B19" s="3" t="s">
        <v>520</v>
      </c>
      <c r="C19" s="3" t="s">
        <v>558</v>
      </c>
      <c r="D19" s="82"/>
      <c r="E19" s="82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87"/>
      <c r="BS19" s="87"/>
      <c r="BT19" s="87"/>
      <c r="BU19" s="87"/>
      <c r="BV19" s="181"/>
      <c r="BW19" s="87"/>
      <c r="BX19" s="87"/>
      <c r="BY19" s="181"/>
      <c r="BZ19" s="87"/>
      <c r="CA19" s="181"/>
      <c r="CB19" s="87"/>
    </row>
    <row r="20" spans="1:80" x14ac:dyDescent="0.5">
      <c r="A20" s="82" t="s">
        <v>273</v>
      </c>
      <c r="B20" s="3" t="s">
        <v>521</v>
      </c>
      <c r="C20" s="3" t="s">
        <v>558</v>
      </c>
      <c r="D20" s="82"/>
      <c r="E20" s="82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87"/>
      <c r="BS20" s="87"/>
      <c r="BT20" s="87"/>
      <c r="BU20" s="87"/>
      <c r="BV20" s="181"/>
      <c r="BW20" s="87"/>
      <c r="BX20" s="87"/>
      <c r="BY20" s="181"/>
      <c r="BZ20" s="87"/>
      <c r="CA20" s="181"/>
      <c r="CB20" s="87"/>
    </row>
    <row r="21" spans="1:80" x14ac:dyDescent="0.5">
      <c r="A21" s="82" t="s">
        <v>274</v>
      </c>
      <c r="B21" s="3" t="s">
        <v>522</v>
      </c>
      <c r="C21" s="3" t="s">
        <v>558</v>
      </c>
      <c r="D21" s="82"/>
      <c r="E21" s="82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87"/>
      <c r="BS21" s="87"/>
      <c r="BT21" s="87"/>
      <c r="BU21" s="87"/>
      <c r="BV21" s="181"/>
      <c r="BW21" s="87"/>
      <c r="BX21" s="87"/>
      <c r="BY21" s="181"/>
      <c r="BZ21" s="87"/>
      <c r="CA21" s="181"/>
      <c r="CB21" s="87"/>
    </row>
    <row r="22" spans="1:80" x14ac:dyDescent="0.5">
      <c r="A22" s="82" t="s">
        <v>275</v>
      </c>
      <c r="B22" s="3" t="s">
        <v>523</v>
      </c>
      <c r="C22" s="3" t="s">
        <v>558</v>
      </c>
      <c r="D22" s="82"/>
      <c r="E22" s="82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87"/>
      <c r="AM22" s="187"/>
      <c r="AN22" s="187"/>
      <c r="AO22" s="187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  <c r="BB22" s="118"/>
      <c r="BC22" s="118"/>
      <c r="BD22" s="118"/>
      <c r="BE22" s="118"/>
      <c r="BF22" s="118"/>
      <c r="BG22" s="118"/>
      <c r="BH22" s="118"/>
      <c r="BI22" s="118"/>
      <c r="BJ22" s="118"/>
      <c r="BK22" s="118"/>
      <c r="BL22" s="118"/>
      <c r="BM22" s="118"/>
      <c r="BN22" s="118"/>
      <c r="BO22" s="118"/>
      <c r="BP22" s="87"/>
      <c r="BS22" s="87"/>
      <c r="BT22" s="87"/>
      <c r="BU22" s="87"/>
      <c r="BV22" s="181"/>
      <c r="BW22" s="87"/>
      <c r="BX22" s="87"/>
      <c r="BY22" s="181"/>
      <c r="BZ22" s="87"/>
      <c r="CA22" s="181"/>
      <c r="CB22" s="87"/>
    </row>
    <row r="23" spans="1:80" x14ac:dyDescent="0.5">
      <c r="A23" s="82" t="s">
        <v>276</v>
      </c>
      <c r="B23" s="3" t="s">
        <v>524</v>
      </c>
      <c r="C23" s="3" t="s">
        <v>558</v>
      </c>
      <c r="D23" s="82"/>
      <c r="E23" s="82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87"/>
      <c r="AM23" s="187"/>
      <c r="AN23" s="187"/>
      <c r="AO23" s="187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87"/>
      <c r="BS23" s="87"/>
      <c r="BT23" s="87"/>
      <c r="BU23" s="87"/>
      <c r="BV23" s="181"/>
      <c r="BW23" s="87"/>
      <c r="BX23" s="87"/>
      <c r="BY23" s="181"/>
      <c r="BZ23" s="87"/>
      <c r="CA23" s="181"/>
      <c r="CB23" s="87"/>
    </row>
    <row r="24" spans="1:80" x14ac:dyDescent="0.5">
      <c r="A24" s="82" t="s">
        <v>277</v>
      </c>
      <c r="B24" s="3" t="s">
        <v>525</v>
      </c>
      <c r="C24" s="3" t="s">
        <v>558</v>
      </c>
      <c r="D24" s="82"/>
      <c r="E24" s="82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87"/>
      <c r="AM24" s="187"/>
      <c r="AN24" s="187"/>
      <c r="AO24" s="187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8"/>
      <c r="BP24" s="87"/>
      <c r="BS24" s="87"/>
      <c r="BT24" s="87"/>
      <c r="BU24" s="87"/>
      <c r="BV24" s="181"/>
      <c r="BW24" s="87"/>
      <c r="BX24" s="87"/>
      <c r="BY24" s="181"/>
      <c r="BZ24" s="87"/>
      <c r="CA24" s="181"/>
      <c r="CB24" s="87"/>
    </row>
    <row r="25" spans="1:80" x14ac:dyDescent="0.5">
      <c r="A25" s="82" t="s">
        <v>497</v>
      </c>
      <c r="B25" s="3" t="s">
        <v>526</v>
      </c>
      <c r="C25" s="3" t="s">
        <v>558</v>
      </c>
      <c r="D25" s="82"/>
      <c r="E25" s="82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87"/>
      <c r="AM25" s="187"/>
      <c r="AN25" s="187"/>
      <c r="AO25" s="187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  <c r="BM25" s="118"/>
      <c r="BN25" s="118"/>
      <c r="BO25" s="118"/>
      <c r="BP25" s="87"/>
      <c r="BS25" s="87"/>
      <c r="BT25" s="87"/>
      <c r="BU25" s="87"/>
      <c r="BV25" s="181"/>
      <c r="BW25" s="87"/>
      <c r="BX25" s="87"/>
      <c r="BY25" s="181"/>
      <c r="BZ25" s="87"/>
      <c r="CA25" s="181"/>
      <c r="CB25" s="87"/>
    </row>
    <row r="26" spans="1:80" x14ac:dyDescent="0.5">
      <c r="A26" s="82" t="s">
        <v>498</v>
      </c>
      <c r="B26" s="3" t="s">
        <v>527</v>
      </c>
      <c r="C26" s="3" t="s">
        <v>558</v>
      </c>
      <c r="D26" s="82"/>
      <c r="E26" s="82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87"/>
      <c r="AM26" s="187"/>
      <c r="AN26" s="187"/>
      <c r="AO26" s="187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  <c r="BL26" s="118"/>
      <c r="BM26" s="118"/>
      <c r="BN26" s="118"/>
      <c r="BO26" s="118"/>
      <c r="BP26" s="87"/>
      <c r="BS26" s="87"/>
      <c r="BT26" s="87"/>
      <c r="BU26" s="87"/>
      <c r="BV26" s="181"/>
      <c r="BW26" s="87"/>
      <c r="BX26" s="87"/>
      <c r="BY26" s="181"/>
      <c r="BZ26" s="87"/>
      <c r="CA26" s="181"/>
      <c r="CB26" s="87"/>
    </row>
    <row r="27" spans="1:80" x14ac:dyDescent="0.5">
      <c r="A27" s="82" t="s">
        <v>499</v>
      </c>
      <c r="B27" s="3" t="s">
        <v>528</v>
      </c>
      <c r="C27" s="3" t="s">
        <v>558</v>
      </c>
      <c r="D27" s="82"/>
      <c r="E27" s="82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87"/>
      <c r="AM27" s="187"/>
      <c r="AN27" s="187"/>
      <c r="AO27" s="187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87"/>
      <c r="BS27" s="87"/>
      <c r="BT27" s="87"/>
      <c r="BU27" s="87"/>
      <c r="BV27" s="181"/>
      <c r="BW27" s="87"/>
      <c r="BX27" s="87"/>
      <c r="BY27" s="181"/>
      <c r="BZ27" s="87"/>
      <c r="CA27" s="181"/>
      <c r="CB27" s="87"/>
    </row>
    <row r="28" spans="1:80" x14ac:dyDescent="0.5">
      <c r="A28" s="82" t="s">
        <v>500</v>
      </c>
      <c r="B28" s="3" t="s">
        <v>529</v>
      </c>
      <c r="C28" s="3" t="s">
        <v>558</v>
      </c>
      <c r="D28" s="82"/>
      <c r="E28" s="82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18"/>
      <c r="BK28" s="118"/>
      <c r="BL28" s="118"/>
      <c r="BM28" s="118"/>
      <c r="BN28" s="118"/>
      <c r="BO28" s="118"/>
      <c r="BP28" s="87"/>
      <c r="BS28" s="87"/>
      <c r="BT28" s="87"/>
      <c r="BU28" s="87"/>
      <c r="BV28" s="181"/>
      <c r="BW28" s="87"/>
      <c r="BX28" s="87"/>
      <c r="BY28" s="181"/>
      <c r="BZ28" s="87"/>
      <c r="CA28" s="181"/>
      <c r="CB28" s="87"/>
    </row>
    <row r="29" spans="1:80" x14ac:dyDescent="0.5">
      <c r="A29" s="82" t="s">
        <v>501</v>
      </c>
      <c r="B29" s="3" t="s">
        <v>530</v>
      </c>
      <c r="C29" s="3" t="s">
        <v>558</v>
      </c>
      <c r="D29" s="82"/>
      <c r="E29" s="82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  <c r="BB29" s="118"/>
      <c r="BC29" s="118"/>
      <c r="BD29" s="118"/>
      <c r="BE29" s="118"/>
      <c r="BF29" s="118"/>
      <c r="BG29" s="118"/>
      <c r="BH29" s="118"/>
      <c r="BI29" s="118"/>
      <c r="BJ29" s="118"/>
      <c r="BK29" s="118"/>
      <c r="BL29" s="118"/>
      <c r="BM29" s="118"/>
      <c r="BN29" s="118"/>
      <c r="BO29" s="118"/>
      <c r="BP29" s="87"/>
      <c r="BS29" s="87"/>
      <c r="BT29" s="87"/>
      <c r="BU29" s="87"/>
      <c r="BV29" s="181"/>
      <c r="BW29" s="87"/>
      <c r="BX29" s="87"/>
      <c r="BY29" s="181"/>
      <c r="BZ29" s="87"/>
      <c r="CA29" s="181"/>
      <c r="CB29" s="87"/>
    </row>
    <row r="30" spans="1:80" x14ac:dyDescent="0.5">
      <c r="A30" s="82" t="s">
        <v>502</v>
      </c>
      <c r="B30" s="3" t="s">
        <v>531</v>
      </c>
      <c r="C30" s="3" t="s">
        <v>558</v>
      </c>
      <c r="D30" s="82"/>
      <c r="E30" s="82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c r="BB30" s="118"/>
      <c r="BC30" s="118"/>
      <c r="BD30" s="118"/>
      <c r="BE30" s="118"/>
      <c r="BF30" s="118"/>
      <c r="BG30" s="118"/>
      <c r="BH30" s="118"/>
      <c r="BI30" s="118"/>
      <c r="BJ30" s="118"/>
      <c r="BK30" s="118"/>
      <c r="BL30" s="118"/>
      <c r="BM30" s="118"/>
      <c r="BN30" s="118"/>
      <c r="BO30" s="118"/>
      <c r="BP30" s="87"/>
      <c r="BS30" s="87"/>
      <c r="BT30" s="87"/>
      <c r="BU30" s="87"/>
      <c r="BV30" s="181"/>
      <c r="BW30" s="87"/>
      <c r="BX30" s="87"/>
      <c r="BY30" s="181"/>
      <c r="BZ30" s="87"/>
      <c r="CA30" s="181"/>
      <c r="CB30" s="87"/>
    </row>
    <row r="31" spans="1:80" x14ac:dyDescent="0.5">
      <c r="A31" s="82" t="s">
        <v>503</v>
      </c>
      <c r="B31" s="3" t="s">
        <v>532</v>
      </c>
      <c r="C31" s="3" t="s">
        <v>558</v>
      </c>
      <c r="D31" s="82"/>
      <c r="E31" s="82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  <c r="BB31" s="118"/>
      <c r="BC31" s="118"/>
      <c r="BD31" s="118"/>
      <c r="BE31" s="118"/>
      <c r="BF31" s="118"/>
      <c r="BG31" s="118"/>
      <c r="BH31" s="118"/>
      <c r="BI31" s="118"/>
      <c r="BJ31" s="118"/>
      <c r="BK31" s="118"/>
      <c r="BL31" s="118"/>
      <c r="BM31" s="118"/>
      <c r="BN31" s="118"/>
      <c r="BO31" s="118"/>
      <c r="BP31" s="87"/>
      <c r="BS31" s="87"/>
      <c r="BT31" s="87"/>
      <c r="BU31" s="87"/>
      <c r="BV31" s="181"/>
      <c r="BW31" s="87"/>
      <c r="BX31" s="87"/>
      <c r="BY31" s="181"/>
      <c r="BZ31" s="87"/>
      <c r="CA31" s="181"/>
      <c r="CB31" s="87"/>
    </row>
    <row r="32" spans="1:80" x14ac:dyDescent="0.5">
      <c r="A32" s="82" t="s">
        <v>504</v>
      </c>
      <c r="B32" s="3" t="s">
        <v>533</v>
      </c>
      <c r="C32" s="3" t="s">
        <v>558</v>
      </c>
      <c r="D32" s="82"/>
      <c r="E32" s="82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118"/>
      <c r="BH32" s="118"/>
      <c r="BI32" s="118"/>
      <c r="BJ32" s="118"/>
      <c r="BK32" s="118"/>
      <c r="BL32" s="118"/>
      <c r="BM32" s="118"/>
      <c r="BN32" s="118"/>
      <c r="BO32" s="118"/>
      <c r="BP32" s="87"/>
      <c r="BS32" s="87"/>
      <c r="BT32" s="87"/>
      <c r="BU32" s="87"/>
      <c r="BV32" s="181"/>
      <c r="BW32" s="87"/>
      <c r="BX32" s="87"/>
      <c r="BY32" s="181"/>
      <c r="BZ32" s="87"/>
      <c r="CA32" s="181"/>
      <c r="CB32" s="87"/>
    </row>
    <row r="33" spans="1:140" x14ac:dyDescent="0.5">
      <c r="A33" s="82" t="s">
        <v>505</v>
      </c>
      <c r="B33" s="3" t="s">
        <v>534</v>
      </c>
      <c r="C33" s="3" t="s">
        <v>558</v>
      </c>
      <c r="D33" s="82"/>
      <c r="E33" s="82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E33" s="118"/>
      <c r="BF33" s="118"/>
      <c r="BG33" s="118"/>
      <c r="BH33" s="118"/>
      <c r="BI33" s="118"/>
      <c r="BJ33" s="118"/>
      <c r="BK33" s="118"/>
      <c r="BL33" s="118"/>
      <c r="BM33" s="118"/>
      <c r="BN33" s="118"/>
      <c r="BO33" s="118"/>
      <c r="BP33" s="87"/>
      <c r="BS33" s="87"/>
      <c r="BT33" s="87"/>
      <c r="BU33" s="87"/>
      <c r="BV33" s="181"/>
      <c r="BW33" s="87"/>
      <c r="BX33" s="87"/>
      <c r="BY33" s="181"/>
      <c r="BZ33" s="87"/>
      <c r="CA33" s="181"/>
      <c r="CB33" s="87"/>
    </row>
    <row r="34" spans="1:140" x14ac:dyDescent="0.5">
      <c r="A34" s="82" t="s">
        <v>506</v>
      </c>
      <c r="B34" s="3" t="s">
        <v>535</v>
      </c>
      <c r="C34" s="3" t="s">
        <v>558</v>
      </c>
      <c r="D34" s="82"/>
      <c r="E34" s="82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87"/>
      <c r="AM34" s="187"/>
      <c r="AN34" s="187"/>
      <c r="AO34" s="187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87"/>
      <c r="BS34" s="87"/>
      <c r="BT34" s="87"/>
      <c r="BU34" s="87"/>
      <c r="BV34" s="87"/>
      <c r="BW34" s="87"/>
      <c r="BX34" s="87"/>
      <c r="BY34" s="87"/>
      <c r="BZ34" s="87"/>
      <c r="CA34" s="87"/>
      <c r="CB34" s="87"/>
      <c r="CC34" s="87"/>
    </row>
    <row r="35" spans="1:140" x14ac:dyDescent="0.5">
      <c r="A35" s="82" t="s">
        <v>507</v>
      </c>
      <c r="B35" s="3" t="s">
        <v>566</v>
      </c>
      <c r="C35" s="3" t="s">
        <v>558</v>
      </c>
      <c r="D35" s="82"/>
      <c r="E35" s="82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87"/>
      <c r="AM35" s="187"/>
      <c r="AN35" s="187"/>
      <c r="AO35" s="187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  <c r="BB35" s="118"/>
      <c r="BC35" s="118"/>
      <c r="BD35" s="118"/>
      <c r="BE35" s="118"/>
      <c r="BF35" s="118"/>
      <c r="BG35" s="118"/>
      <c r="BH35" s="118"/>
      <c r="BI35" s="118"/>
      <c r="BJ35" s="118"/>
      <c r="BK35" s="118"/>
      <c r="BL35" s="118"/>
      <c r="BM35" s="118"/>
      <c r="BN35" s="118"/>
      <c r="BO35" s="118"/>
      <c r="BP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</row>
    <row r="36" spans="1:140" x14ac:dyDescent="0.5">
      <c r="A36" s="82" t="s">
        <v>508</v>
      </c>
      <c r="B36" s="3" t="s">
        <v>584</v>
      </c>
      <c r="C36" s="3" t="s">
        <v>350</v>
      </c>
      <c r="D36" s="82">
        <v>160</v>
      </c>
      <c r="E36" s="82">
        <v>1600</v>
      </c>
      <c r="F36" s="3" t="s">
        <v>323</v>
      </c>
      <c r="G36" s="82" t="s">
        <v>561</v>
      </c>
      <c r="H36" s="3" t="s">
        <v>121</v>
      </c>
      <c r="I36" s="116">
        <v>0.1</v>
      </c>
      <c r="J36" s="116">
        <v>0.9</v>
      </c>
      <c r="K36" s="116">
        <v>0</v>
      </c>
      <c r="L36" s="116">
        <v>0</v>
      </c>
      <c r="M36" s="116">
        <v>0</v>
      </c>
      <c r="N36" s="116">
        <v>0.7</v>
      </c>
      <c r="O36" s="116">
        <v>0.05</v>
      </c>
      <c r="P36" s="116">
        <v>0.1</v>
      </c>
      <c r="Q36" s="116">
        <v>0.15</v>
      </c>
      <c r="R36" s="116">
        <v>0</v>
      </c>
      <c r="S36" s="116">
        <v>0</v>
      </c>
      <c r="T36" s="116">
        <v>1</v>
      </c>
      <c r="U36" s="116">
        <v>0</v>
      </c>
      <c r="V36" s="82">
        <v>200</v>
      </c>
      <c r="W36" s="118">
        <v>0</v>
      </c>
      <c r="X36" s="118">
        <v>0.1</v>
      </c>
      <c r="Y36" s="118">
        <v>0.4</v>
      </c>
      <c r="Z36" s="118">
        <v>0</v>
      </c>
      <c r="AA36" s="118">
        <v>0</v>
      </c>
      <c r="AB36" s="118">
        <v>0.2</v>
      </c>
      <c r="AC36" s="118">
        <v>0.1</v>
      </c>
      <c r="AD36" s="118">
        <v>0</v>
      </c>
      <c r="AE36" s="118">
        <v>0</v>
      </c>
      <c r="AF36" s="118">
        <v>0</v>
      </c>
      <c r="AG36" s="118">
        <v>0</v>
      </c>
      <c r="AH36" s="118">
        <v>0.1</v>
      </c>
      <c r="AI36" s="118">
        <v>0</v>
      </c>
      <c r="AJ36" s="118">
        <v>0.1</v>
      </c>
      <c r="AK36" s="118">
        <v>0</v>
      </c>
      <c r="AL36" s="187">
        <v>0</v>
      </c>
      <c r="AM36" s="187">
        <v>0.1</v>
      </c>
      <c r="AN36" s="187">
        <v>0.5</v>
      </c>
      <c r="AO36" s="187">
        <v>0.4</v>
      </c>
      <c r="AP36" s="118">
        <v>0</v>
      </c>
      <c r="AQ36" s="118">
        <v>0.3</v>
      </c>
      <c r="AR36" s="118">
        <v>0.5</v>
      </c>
      <c r="AS36" s="118">
        <v>0.2</v>
      </c>
      <c r="AT36" s="118">
        <v>0</v>
      </c>
      <c r="AU36" s="118">
        <v>0.3</v>
      </c>
      <c r="AV36" s="118">
        <v>0</v>
      </c>
      <c r="AW36" s="118">
        <v>0</v>
      </c>
      <c r="AX36" s="118">
        <v>0</v>
      </c>
      <c r="AY36" s="118">
        <v>0</v>
      </c>
      <c r="AZ36" s="118">
        <v>0</v>
      </c>
      <c r="BA36" s="118">
        <v>0</v>
      </c>
      <c r="BB36" s="118">
        <v>0</v>
      </c>
      <c r="BC36" s="118">
        <v>0.2</v>
      </c>
      <c r="BD36" s="118">
        <v>0.1</v>
      </c>
      <c r="BE36" s="118">
        <v>0</v>
      </c>
      <c r="BF36" s="118">
        <v>0</v>
      </c>
      <c r="BG36" s="118">
        <v>0</v>
      </c>
      <c r="BH36" s="118">
        <v>0</v>
      </c>
      <c r="BI36" s="118">
        <v>0.05</v>
      </c>
      <c r="BJ36" s="118">
        <v>0</v>
      </c>
      <c r="BK36" s="118">
        <v>0</v>
      </c>
      <c r="BL36" s="118">
        <v>0.05</v>
      </c>
      <c r="BM36" s="118">
        <v>0.15</v>
      </c>
      <c r="BN36" s="118">
        <v>0.15</v>
      </c>
      <c r="BO36" s="118">
        <v>0</v>
      </c>
      <c r="BP36" s="87">
        <v>100000</v>
      </c>
      <c r="BQ36" s="3">
        <v>10</v>
      </c>
      <c r="BR36" s="3">
        <v>20</v>
      </c>
      <c r="BS36" s="87">
        <v>7945</v>
      </c>
      <c r="BT36" s="87">
        <v>5161.2</v>
      </c>
      <c r="BU36" s="87">
        <v>4365.8388747272702</v>
      </c>
      <c r="BV36" s="181" t="s">
        <v>416</v>
      </c>
      <c r="BW36" s="87">
        <v>8.9035478774315102</v>
      </c>
      <c r="BX36" s="87">
        <v>38871.455446285901</v>
      </c>
      <c r="BY36" s="181" t="s">
        <v>420</v>
      </c>
      <c r="BZ36" s="87">
        <v>102069.27315402401</v>
      </c>
      <c r="CA36" s="181" t="s">
        <v>551</v>
      </c>
      <c r="CB36" s="87">
        <v>15090</v>
      </c>
    </row>
    <row r="37" spans="1:140" x14ac:dyDescent="0.5">
      <c r="A37" s="82" t="s">
        <v>509</v>
      </c>
      <c r="B37" s="3" t="s">
        <v>583</v>
      </c>
      <c r="C37" s="3" t="s">
        <v>350</v>
      </c>
      <c r="D37" s="82">
        <v>15</v>
      </c>
      <c r="E37" s="82">
        <v>150</v>
      </c>
      <c r="F37" s="3" t="s">
        <v>324</v>
      </c>
      <c r="G37" s="82" t="s">
        <v>85</v>
      </c>
      <c r="H37" s="3" t="s">
        <v>182</v>
      </c>
      <c r="I37" s="116">
        <v>0.16666666666666699</v>
      </c>
      <c r="J37" s="116">
        <v>0</v>
      </c>
      <c r="K37" s="116">
        <v>0</v>
      </c>
      <c r="L37" s="116">
        <v>5.3333333333333302E-2</v>
      </c>
      <c r="M37" s="116">
        <v>0.78</v>
      </c>
      <c r="N37" s="116">
        <v>0.7</v>
      </c>
      <c r="O37" s="116">
        <v>0.05</v>
      </c>
      <c r="P37" s="116">
        <v>0.1</v>
      </c>
      <c r="Q37" s="116">
        <v>0.15</v>
      </c>
      <c r="R37" s="116">
        <v>0</v>
      </c>
      <c r="S37" s="116">
        <v>0</v>
      </c>
      <c r="T37" s="116">
        <v>1</v>
      </c>
      <c r="U37" s="116">
        <v>0</v>
      </c>
      <c r="V37" s="82">
        <v>80</v>
      </c>
      <c r="W37" s="118">
        <v>0</v>
      </c>
      <c r="X37" s="118">
        <v>0</v>
      </c>
      <c r="Y37" s="118">
        <v>1</v>
      </c>
      <c r="Z37" s="118">
        <v>0</v>
      </c>
      <c r="AA37" s="118">
        <v>0</v>
      </c>
      <c r="AB37" s="118">
        <v>0</v>
      </c>
      <c r="AC37" s="118">
        <v>0</v>
      </c>
      <c r="AD37" s="118">
        <v>0</v>
      </c>
      <c r="AE37" s="118">
        <v>0</v>
      </c>
      <c r="AF37" s="118">
        <v>0</v>
      </c>
      <c r="AG37" s="118">
        <v>0</v>
      </c>
      <c r="AH37" s="118">
        <v>0</v>
      </c>
      <c r="AI37" s="118">
        <v>0</v>
      </c>
      <c r="AJ37" s="118">
        <v>0</v>
      </c>
      <c r="AK37" s="118">
        <v>0</v>
      </c>
      <c r="AL37" s="187">
        <v>0.5</v>
      </c>
      <c r="AM37" s="187">
        <v>0.5</v>
      </c>
      <c r="AN37" s="187">
        <v>0</v>
      </c>
      <c r="AO37" s="187">
        <v>0</v>
      </c>
      <c r="AP37" s="118">
        <v>0</v>
      </c>
      <c r="AQ37" s="118">
        <v>0</v>
      </c>
      <c r="AR37" s="118">
        <v>0</v>
      </c>
      <c r="AS37" s="118">
        <v>0.7</v>
      </c>
      <c r="AT37" s="118">
        <v>0.3</v>
      </c>
      <c r="AU37" s="118">
        <v>0.1</v>
      </c>
      <c r="AV37" s="118">
        <v>0</v>
      </c>
      <c r="AW37" s="118">
        <v>0</v>
      </c>
      <c r="AX37" s="118">
        <v>0</v>
      </c>
      <c r="AY37" s="118">
        <v>0.1</v>
      </c>
      <c r="AZ37" s="118">
        <v>0</v>
      </c>
      <c r="BA37" s="118">
        <v>0</v>
      </c>
      <c r="BB37" s="118">
        <v>0.1</v>
      </c>
      <c r="BC37" s="118">
        <v>0.1</v>
      </c>
      <c r="BD37" s="118">
        <v>0.1</v>
      </c>
      <c r="BE37" s="118">
        <v>0</v>
      </c>
      <c r="BF37" s="118">
        <v>0</v>
      </c>
      <c r="BG37" s="118">
        <v>0</v>
      </c>
      <c r="BH37" s="118">
        <v>0</v>
      </c>
      <c r="BI37" s="118">
        <v>0.1</v>
      </c>
      <c r="BJ37" s="118">
        <v>0</v>
      </c>
      <c r="BK37" s="118">
        <v>0</v>
      </c>
      <c r="BL37" s="118">
        <v>0.15</v>
      </c>
      <c r="BM37" s="118">
        <v>0.15</v>
      </c>
      <c r="BN37" s="118">
        <v>0.1</v>
      </c>
      <c r="BO37" s="118">
        <v>0</v>
      </c>
      <c r="BP37" s="87">
        <v>45000</v>
      </c>
      <c r="BQ37" s="3">
        <v>5</v>
      </c>
      <c r="BR37" s="3">
        <v>8</v>
      </c>
      <c r="BS37" s="87">
        <v>12375</v>
      </c>
      <c r="BT37" s="87">
        <v>0</v>
      </c>
      <c r="BU37" s="87">
        <v>26281.184667639602</v>
      </c>
      <c r="BV37" s="181" t="s">
        <v>407</v>
      </c>
      <c r="BW37" s="87">
        <v>14.0517202645349</v>
      </c>
      <c r="BX37" s="87">
        <v>369295.85517025599</v>
      </c>
      <c r="BY37" s="181" t="s">
        <v>415</v>
      </c>
      <c r="BZ37" s="87">
        <v>40332.526282504798</v>
      </c>
      <c r="CA37" s="181" t="s">
        <v>420</v>
      </c>
      <c r="CB37" s="87">
        <v>2458.8354271080798</v>
      </c>
    </row>
    <row r="38" spans="1:140" x14ac:dyDescent="0.5">
      <c r="A38" s="82" t="s">
        <v>510</v>
      </c>
      <c r="B38" s="3" t="s">
        <v>582</v>
      </c>
      <c r="C38" s="3" t="s">
        <v>350</v>
      </c>
      <c r="D38" s="82">
        <v>20</v>
      </c>
      <c r="E38" s="82">
        <v>200</v>
      </c>
      <c r="F38" s="3" t="s">
        <v>324</v>
      </c>
      <c r="G38" s="82" t="s">
        <v>88</v>
      </c>
      <c r="H38" s="3" t="s">
        <v>121</v>
      </c>
      <c r="I38" s="116">
        <v>0.8</v>
      </c>
      <c r="J38" s="116">
        <v>0.125</v>
      </c>
      <c r="K38" s="116">
        <v>0</v>
      </c>
      <c r="L38" s="116">
        <v>0</v>
      </c>
      <c r="M38" s="116">
        <v>7.4999999999999997E-2</v>
      </c>
      <c r="N38" s="116">
        <v>0.9</v>
      </c>
      <c r="O38" s="116">
        <v>0</v>
      </c>
      <c r="P38" s="116">
        <v>0</v>
      </c>
      <c r="Q38" s="116">
        <v>0.1</v>
      </c>
      <c r="R38" s="116">
        <v>0</v>
      </c>
      <c r="S38" s="116">
        <v>0</v>
      </c>
      <c r="T38" s="116">
        <v>1</v>
      </c>
      <c r="U38" s="116">
        <v>0</v>
      </c>
      <c r="V38" s="82">
        <v>15</v>
      </c>
      <c r="W38" s="118">
        <v>0</v>
      </c>
      <c r="X38" s="118">
        <v>0</v>
      </c>
      <c r="Y38" s="118">
        <v>1</v>
      </c>
      <c r="Z38" s="118">
        <v>0</v>
      </c>
      <c r="AA38" s="118">
        <v>0</v>
      </c>
      <c r="AB38" s="118">
        <v>0</v>
      </c>
      <c r="AC38" s="118">
        <v>0</v>
      </c>
      <c r="AD38" s="118">
        <v>0</v>
      </c>
      <c r="AE38" s="118">
        <v>0</v>
      </c>
      <c r="AF38" s="118">
        <v>0</v>
      </c>
      <c r="AG38" s="118">
        <v>0</v>
      </c>
      <c r="AH38" s="118">
        <v>0</v>
      </c>
      <c r="AI38" s="118">
        <v>0</v>
      </c>
      <c r="AJ38" s="118">
        <v>0</v>
      </c>
      <c r="AK38" s="118">
        <v>0</v>
      </c>
      <c r="AL38" s="187">
        <v>0</v>
      </c>
      <c r="AM38" s="187">
        <v>0</v>
      </c>
      <c r="AN38" s="187">
        <v>0</v>
      </c>
      <c r="AO38" s="187">
        <v>1</v>
      </c>
      <c r="AP38" s="118">
        <v>1</v>
      </c>
      <c r="AQ38" s="118">
        <v>0</v>
      </c>
      <c r="AR38" s="118">
        <v>0</v>
      </c>
      <c r="AS38" s="118">
        <v>0</v>
      </c>
      <c r="AT38" s="118">
        <v>0</v>
      </c>
      <c r="AU38" s="118">
        <v>0.8</v>
      </c>
      <c r="AV38" s="118">
        <v>0</v>
      </c>
      <c r="AW38" s="118">
        <v>0</v>
      </c>
      <c r="AX38" s="118">
        <v>0</v>
      </c>
      <c r="AY38" s="118">
        <v>0</v>
      </c>
      <c r="AZ38" s="118">
        <v>0</v>
      </c>
      <c r="BA38" s="118">
        <v>0</v>
      </c>
      <c r="BB38" s="118">
        <v>0</v>
      </c>
      <c r="BC38" s="118">
        <v>0</v>
      </c>
      <c r="BD38" s="118">
        <v>0</v>
      </c>
      <c r="BE38" s="118">
        <v>0</v>
      </c>
      <c r="BF38" s="118">
        <v>0</v>
      </c>
      <c r="BG38" s="118">
        <v>0</v>
      </c>
      <c r="BH38" s="118">
        <v>0</v>
      </c>
      <c r="BI38" s="118">
        <v>0</v>
      </c>
      <c r="BJ38" s="118">
        <v>0</v>
      </c>
      <c r="BK38" s="118">
        <v>0</v>
      </c>
      <c r="BL38" s="118">
        <v>0</v>
      </c>
      <c r="BM38" s="118">
        <v>0.1</v>
      </c>
      <c r="BN38" s="118">
        <v>0.1</v>
      </c>
      <c r="BO38" s="118">
        <v>0</v>
      </c>
      <c r="BP38" s="87">
        <v>45000</v>
      </c>
      <c r="BQ38" s="3">
        <v>7</v>
      </c>
      <c r="BR38" s="3">
        <v>15</v>
      </c>
      <c r="BS38" s="87">
        <v>12375</v>
      </c>
      <c r="BT38" s="87">
        <v>0</v>
      </c>
      <c r="BU38" s="87">
        <v>4629.8658291976299</v>
      </c>
      <c r="BV38" s="181" t="s">
        <v>416</v>
      </c>
      <c r="BW38" s="87">
        <v>4.0785073788415804</v>
      </c>
      <c r="BX38" s="87">
        <v>18882.941947429001</v>
      </c>
      <c r="BY38" s="181" t="s">
        <v>453</v>
      </c>
      <c r="BZ38" s="87">
        <v>41171.738736225299</v>
      </c>
      <c r="CA38" s="181" t="s">
        <v>420</v>
      </c>
      <c r="CB38" s="87">
        <v>8214.3419158930392</v>
      </c>
    </row>
    <row r="39" spans="1:140" x14ac:dyDescent="0.5">
      <c r="A39" s="82" t="s">
        <v>511</v>
      </c>
      <c r="B39" s="3" t="s">
        <v>581</v>
      </c>
      <c r="C39" s="3" t="s">
        <v>350</v>
      </c>
      <c r="D39" s="82">
        <v>60</v>
      </c>
      <c r="E39" s="82">
        <v>600</v>
      </c>
      <c r="F39" s="3" t="s">
        <v>321</v>
      </c>
      <c r="G39" s="82" t="s">
        <v>87</v>
      </c>
      <c r="H39" s="3" t="s">
        <v>147</v>
      </c>
      <c r="I39" s="116">
        <v>0.15</v>
      </c>
      <c r="J39" s="116">
        <v>0.85</v>
      </c>
      <c r="K39" s="116">
        <v>0</v>
      </c>
      <c r="L39" s="116">
        <v>0</v>
      </c>
      <c r="M39" s="116">
        <v>0</v>
      </c>
      <c r="N39" s="116">
        <v>0.7</v>
      </c>
      <c r="O39" s="116">
        <v>0.05</v>
      </c>
      <c r="P39" s="116">
        <v>0.1</v>
      </c>
      <c r="Q39" s="116">
        <v>0.15</v>
      </c>
      <c r="R39" s="116">
        <v>0</v>
      </c>
      <c r="S39" s="116">
        <v>0</v>
      </c>
      <c r="T39" s="116">
        <v>1</v>
      </c>
      <c r="U39" s="116">
        <v>0</v>
      </c>
      <c r="V39" s="82">
        <v>150</v>
      </c>
      <c r="W39" s="118">
        <v>0</v>
      </c>
      <c r="X39" s="118">
        <v>0</v>
      </c>
      <c r="Y39" s="118">
        <v>0</v>
      </c>
      <c r="Z39" s="118">
        <v>0</v>
      </c>
      <c r="AA39" s="118">
        <v>0</v>
      </c>
      <c r="AB39" s="118">
        <v>0.5</v>
      </c>
      <c r="AC39" s="118">
        <v>0.2</v>
      </c>
      <c r="AD39" s="118">
        <v>0.1</v>
      </c>
      <c r="AE39" s="118">
        <v>0</v>
      </c>
      <c r="AF39" s="118">
        <v>0</v>
      </c>
      <c r="AG39" s="118">
        <v>0</v>
      </c>
      <c r="AH39" s="118">
        <v>0</v>
      </c>
      <c r="AI39" s="118">
        <v>0</v>
      </c>
      <c r="AJ39" s="118">
        <v>0.2</v>
      </c>
      <c r="AK39" s="118">
        <v>0</v>
      </c>
      <c r="AL39" s="187">
        <v>0</v>
      </c>
      <c r="AM39" s="187">
        <v>0</v>
      </c>
      <c r="AN39" s="187">
        <v>0.3</v>
      </c>
      <c r="AO39" s="187">
        <v>0.7</v>
      </c>
      <c r="AP39" s="118">
        <v>0.7</v>
      </c>
      <c r="AQ39" s="118">
        <v>0.3</v>
      </c>
      <c r="AR39" s="118">
        <v>0</v>
      </c>
      <c r="AS39" s="118">
        <v>0</v>
      </c>
      <c r="AT39" s="118">
        <v>0</v>
      </c>
      <c r="AU39" s="118">
        <v>0.5</v>
      </c>
      <c r="AV39" s="118">
        <v>0</v>
      </c>
      <c r="AW39" s="118">
        <v>0</v>
      </c>
      <c r="AX39" s="118">
        <v>0</v>
      </c>
      <c r="AY39" s="118">
        <v>0</v>
      </c>
      <c r="AZ39" s="118">
        <v>0</v>
      </c>
      <c r="BA39" s="118">
        <v>0</v>
      </c>
      <c r="BB39" s="118">
        <v>0</v>
      </c>
      <c r="BC39" s="118">
        <v>0</v>
      </c>
      <c r="BD39" s="118">
        <v>0.1</v>
      </c>
      <c r="BE39" s="118">
        <v>0</v>
      </c>
      <c r="BF39" s="118">
        <v>0</v>
      </c>
      <c r="BG39" s="118">
        <v>0</v>
      </c>
      <c r="BH39" s="118">
        <v>0</v>
      </c>
      <c r="BI39" s="118">
        <v>0</v>
      </c>
      <c r="BJ39" s="118">
        <v>0</v>
      </c>
      <c r="BK39" s="118">
        <v>0</v>
      </c>
      <c r="BL39" s="118">
        <v>0.1</v>
      </c>
      <c r="BM39" s="118">
        <v>0.2</v>
      </c>
      <c r="BN39" s="118">
        <v>0.1</v>
      </c>
      <c r="BO39" s="118">
        <v>0</v>
      </c>
      <c r="BP39" s="87">
        <v>60000</v>
      </c>
      <c r="BQ39" s="3">
        <v>8</v>
      </c>
      <c r="BR39" s="3">
        <v>100</v>
      </c>
      <c r="BS39" s="87">
        <v>8000</v>
      </c>
      <c r="BT39" s="87"/>
      <c r="BU39" s="87">
        <v>2635.1311724418501</v>
      </c>
      <c r="BV39" s="181" t="s">
        <v>418</v>
      </c>
      <c r="BW39" s="87">
        <v>4.44400740547196</v>
      </c>
      <c r="BX39" s="87">
        <v>11710.542444721599</v>
      </c>
      <c r="BY39" s="181" t="s">
        <v>419</v>
      </c>
      <c r="BZ39" s="87">
        <v>45675</v>
      </c>
      <c r="CA39" s="181" t="s">
        <v>420</v>
      </c>
      <c r="CB39" s="87">
        <v>3157.36427781783</v>
      </c>
    </row>
    <row r="40" spans="1:140" x14ac:dyDescent="0.5">
      <c r="A40" s="82" t="s">
        <v>512</v>
      </c>
      <c r="B40" s="3" t="s">
        <v>586</v>
      </c>
      <c r="C40" s="3" t="s">
        <v>350</v>
      </c>
      <c r="D40" s="82">
        <v>15</v>
      </c>
      <c r="E40" s="82">
        <v>150</v>
      </c>
      <c r="F40" s="3" t="s">
        <v>324</v>
      </c>
      <c r="G40" s="82" t="s">
        <v>85</v>
      </c>
      <c r="H40" s="3" t="s">
        <v>182</v>
      </c>
      <c r="I40" s="116">
        <v>0.16666666666666699</v>
      </c>
      <c r="J40" s="116">
        <v>0</v>
      </c>
      <c r="K40" s="116">
        <v>0</v>
      </c>
      <c r="L40" s="116">
        <v>5.3333333333333302E-2</v>
      </c>
      <c r="M40" s="116">
        <v>0.78</v>
      </c>
      <c r="N40" s="116">
        <v>0.7</v>
      </c>
      <c r="O40" s="116">
        <v>0.05</v>
      </c>
      <c r="P40" s="116">
        <v>0.1</v>
      </c>
      <c r="Q40" s="116">
        <v>0.15</v>
      </c>
      <c r="R40" s="116">
        <v>0</v>
      </c>
      <c r="S40" s="116">
        <v>0</v>
      </c>
      <c r="T40" s="116">
        <v>1</v>
      </c>
      <c r="U40" s="116">
        <v>0</v>
      </c>
      <c r="V40" s="82">
        <v>100</v>
      </c>
      <c r="W40" s="118">
        <v>0</v>
      </c>
      <c r="X40" s="118">
        <v>0</v>
      </c>
      <c r="Y40" s="118">
        <v>1</v>
      </c>
      <c r="Z40" s="118">
        <v>0</v>
      </c>
      <c r="AA40" s="118">
        <v>0</v>
      </c>
      <c r="AB40" s="118">
        <v>0</v>
      </c>
      <c r="AC40" s="118">
        <v>0</v>
      </c>
      <c r="AD40" s="118">
        <v>0</v>
      </c>
      <c r="AE40" s="118">
        <v>0</v>
      </c>
      <c r="AF40" s="118">
        <v>0</v>
      </c>
      <c r="AG40" s="118">
        <v>0</v>
      </c>
      <c r="AH40" s="118">
        <v>0</v>
      </c>
      <c r="AI40" s="118">
        <v>0</v>
      </c>
      <c r="AJ40" s="118">
        <v>0</v>
      </c>
      <c r="AK40" s="118">
        <v>0</v>
      </c>
      <c r="AL40" s="187">
        <v>0</v>
      </c>
      <c r="AM40" s="187">
        <v>0.9</v>
      </c>
      <c r="AN40" s="187">
        <v>0.1</v>
      </c>
      <c r="AO40" s="187">
        <v>0</v>
      </c>
      <c r="AP40" s="118">
        <v>0</v>
      </c>
      <c r="AQ40" s="118">
        <v>0</v>
      </c>
      <c r="AR40" s="118">
        <v>0.2</v>
      </c>
      <c r="AS40" s="118">
        <v>0.7</v>
      </c>
      <c r="AT40" s="118">
        <v>0.1</v>
      </c>
      <c r="AU40" s="118">
        <v>0.1</v>
      </c>
      <c r="AV40" s="118">
        <v>0</v>
      </c>
      <c r="AW40" s="118">
        <v>0</v>
      </c>
      <c r="AX40" s="118">
        <v>0</v>
      </c>
      <c r="AY40" s="118">
        <v>0.05</v>
      </c>
      <c r="AZ40" s="118">
        <v>0</v>
      </c>
      <c r="BA40" s="118">
        <v>0</v>
      </c>
      <c r="BB40" s="118">
        <v>0.15</v>
      </c>
      <c r="BC40" s="118">
        <v>0.1</v>
      </c>
      <c r="BD40" s="118">
        <v>0.1</v>
      </c>
      <c r="BE40" s="118">
        <v>0</v>
      </c>
      <c r="BF40" s="118">
        <v>0</v>
      </c>
      <c r="BG40" s="118">
        <v>0</v>
      </c>
      <c r="BH40" s="118">
        <v>0</v>
      </c>
      <c r="BI40" s="118">
        <v>0.1</v>
      </c>
      <c r="BJ40" s="118">
        <v>0</v>
      </c>
      <c r="BK40" s="118">
        <v>0</v>
      </c>
      <c r="BL40" s="118">
        <v>0.15</v>
      </c>
      <c r="BM40" s="118">
        <v>0.15</v>
      </c>
      <c r="BN40" s="118">
        <v>0.1</v>
      </c>
      <c r="BO40" s="118">
        <v>0</v>
      </c>
      <c r="BP40" s="87">
        <v>45000</v>
      </c>
      <c r="BQ40" s="3">
        <v>7</v>
      </c>
      <c r="BR40" s="3">
        <v>8</v>
      </c>
      <c r="BS40" s="87">
        <v>19753</v>
      </c>
      <c r="BT40" s="87">
        <v>0</v>
      </c>
      <c r="BU40" s="87">
        <v>11883.832472993399</v>
      </c>
      <c r="BV40" s="181" t="s">
        <v>419</v>
      </c>
      <c r="BW40" s="87">
        <v>13.050732853289</v>
      </c>
      <c r="BX40" s="87">
        <v>155092.72287827701</v>
      </c>
      <c r="BY40" s="181" t="s">
        <v>417</v>
      </c>
      <c r="BZ40" s="87">
        <v>41190.665139579403</v>
      </c>
      <c r="CA40" s="181" t="s">
        <v>420</v>
      </c>
      <c r="CB40" s="87">
        <v>2410.6211413937899</v>
      </c>
      <c r="CC40" s="116">
        <v>0</v>
      </c>
      <c r="CD40" s="82">
        <v>80</v>
      </c>
      <c r="CE40" s="118">
        <v>0</v>
      </c>
      <c r="CF40" s="118">
        <v>0</v>
      </c>
      <c r="CG40" s="118">
        <v>1</v>
      </c>
      <c r="CH40" s="118">
        <v>0</v>
      </c>
      <c r="CI40" s="118">
        <v>0</v>
      </c>
      <c r="CJ40" s="118">
        <v>0</v>
      </c>
      <c r="CK40" s="118">
        <v>0</v>
      </c>
      <c r="CL40" s="118">
        <v>0</v>
      </c>
      <c r="CM40" s="118">
        <v>0</v>
      </c>
      <c r="CN40" s="118">
        <v>0</v>
      </c>
      <c r="CO40" s="118">
        <v>0</v>
      </c>
      <c r="CP40" s="118">
        <v>0</v>
      </c>
      <c r="CQ40" s="118">
        <v>0</v>
      </c>
      <c r="CR40" s="118">
        <v>0</v>
      </c>
      <c r="CS40" s="118">
        <v>0</v>
      </c>
      <c r="CT40" s="187">
        <v>0.2</v>
      </c>
      <c r="CU40" s="187">
        <v>0.8</v>
      </c>
      <c r="CV40" s="187">
        <v>0</v>
      </c>
      <c r="CW40" s="187">
        <v>0</v>
      </c>
      <c r="CX40" s="118">
        <v>0</v>
      </c>
      <c r="CY40" s="118">
        <v>0</v>
      </c>
      <c r="CZ40" s="118">
        <v>0</v>
      </c>
      <c r="DA40" s="118">
        <v>0.7</v>
      </c>
      <c r="DB40" s="118">
        <v>0.3</v>
      </c>
      <c r="DC40" s="118">
        <v>0.1</v>
      </c>
      <c r="DD40" s="118">
        <v>0</v>
      </c>
      <c r="DE40" s="118">
        <v>0</v>
      </c>
      <c r="DF40" s="118">
        <v>0</v>
      </c>
      <c r="DG40" s="118">
        <v>0.1</v>
      </c>
      <c r="DH40" s="118">
        <v>0</v>
      </c>
      <c r="DI40" s="118">
        <v>0</v>
      </c>
      <c r="DJ40" s="118">
        <v>0.1</v>
      </c>
      <c r="DK40" s="118">
        <v>0.1</v>
      </c>
      <c r="DL40" s="118">
        <v>0.1</v>
      </c>
      <c r="DM40" s="118">
        <v>0</v>
      </c>
      <c r="DN40" s="118">
        <v>0</v>
      </c>
      <c r="DO40" s="118">
        <v>0</v>
      </c>
      <c r="DP40" s="118">
        <v>0</v>
      </c>
      <c r="DQ40" s="118">
        <v>0.1</v>
      </c>
      <c r="DR40" s="118">
        <v>0</v>
      </c>
      <c r="DS40" s="118">
        <v>0</v>
      </c>
      <c r="DT40" s="118">
        <v>0.15</v>
      </c>
      <c r="DU40" s="118">
        <v>0.15</v>
      </c>
      <c r="DV40" s="118">
        <v>0.1</v>
      </c>
      <c r="DW40" s="118">
        <v>0</v>
      </c>
      <c r="DX40" s="87">
        <v>45000</v>
      </c>
      <c r="DY40" s="3">
        <v>8</v>
      </c>
      <c r="DZ40" s="3">
        <v>8</v>
      </c>
      <c r="EA40" s="87">
        <v>12375</v>
      </c>
      <c r="EB40" s="87">
        <v>0</v>
      </c>
      <c r="EC40" s="87">
        <v>18132.238174712202</v>
      </c>
      <c r="ED40" s="181" t="s">
        <v>453</v>
      </c>
      <c r="EE40" s="87">
        <v>14.0517202645349</v>
      </c>
      <c r="EF40" s="87">
        <v>254789.13860097699</v>
      </c>
      <c r="EG40" s="181" t="s">
        <v>415</v>
      </c>
      <c r="EH40" s="87">
        <v>40332.526282504798</v>
      </c>
      <c r="EI40" s="181" t="s">
        <v>420</v>
      </c>
      <c r="EJ40" s="87">
        <v>3596.8360206714301</v>
      </c>
    </row>
    <row r="41" spans="1:140" x14ac:dyDescent="0.5">
      <c r="A41" s="82" t="s">
        <v>513</v>
      </c>
      <c r="B41" s="3" t="s">
        <v>588</v>
      </c>
      <c r="C41" s="3" t="s">
        <v>350</v>
      </c>
      <c r="D41" s="82">
        <v>30</v>
      </c>
      <c r="E41" s="82">
        <v>300</v>
      </c>
      <c r="F41" s="3" t="s">
        <v>324</v>
      </c>
      <c r="G41" s="82" t="s">
        <v>87</v>
      </c>
      <c r="H41" s="3" t="s">
        <v>121</v>
      </c>
      <c r="I41" s="116">
        <v>0.2</v>
      </c>
      <c r="J41" s="116">
        <v>0.8</v>
      </c>
      <c r="K41" s="116">
        <v>0</v>
      </c>
      <c r="L41" s="116">
        <v>0</v>
      </c>
      <c r="M41" s="116">
        <v>0</v>
      </c>
      <c r="N41" s="116">
        <v>0.7</v>
      </c>
      <c r="O41" s="116">
        <v>0.05</v>
      </c>
      <c r="P41" s="116">
        <v>0.1</v>
      </c>
      <c r="Q41" s="116">
        <v>0.15</v>
      </c>
      <c r="R41" s="116">
        <v>0</v>
      </c>
      <c r="S41" s="116">
        <v>0</v>
      </c>
      <c r="T41" s="116">
        <v>1</v>
      </c>
      <c r="U41" s="116">
        <v>0</v>
      </c>
      <c r="V41" s="82">
        <v>100</v>
      </c>
      <c r="W41" s="118">
        <v>0</v>
      </c>
      <c r="X41" s="118">
        <v>0</v>
      </c>
      <c r="Y41" s="118">
        <v>0.85</v>
      </c>
      <c r="Z41" s="118">
        <v>0</v>
      </c>
      <c r="AA41" s="118">
        <v>0</v>
      </c>
      <c r="AB41" s="118">
        <v>0</v>
      </c>
      <c r="AC41" s="118">
        <v>0</v>
      </c>
      <c r="AD41" s="118">
        <v>0</v>
      </c>
      <c r="AE41" s="118">
        <v>0</v>
      </c>
      <c r="AF41" s="118">
        <v>0</v>
      </c>
      <c r="AG41" s="118">
        <v>0</v>
      </c>
      <c r="AH41" s="118">
        <v>0.15</v>
      </c>
      <c r="AI41" s="118">
        <v>0</v>
      </c>
      <c r="AJ41" s="118">
        <v>0</v>
      </c>
      <c r="AK41" s="118">
        <v>0</v>
      </c>
      <c r="AL41" s="187">
        <v>0</v>
      </c>
      <c r="AM41" s="187">
        <v>0</v>
      </c>
      <c r="AN41" s="187">
        <v>0</v>
      </c>
      <c r="AO41" s="187">
        <v>1</v>
      </c>
      <c r="AP41" s="118">
        <v>0.7</v>
      </c>
      <c r="AQ41" s="118">
        <v>0.3</v>
      </c>
      <c r="AR41" s="118">
        <v>0</v>
      </c>
      <c r="AS41" s="118">
        <v>0</v>
      </c>
      <c r="AT41" s="118">
        <v>0</v>
      </c>
      <c r="AU41" s="118">
        <v>0.8</v>
      </c>
      <c r="AV41" s="118">
        <v>0</v>
      </c>
      <c r="AW41" s="118">
        <v>0</v>
      </c>
      <c r="AX41" s="118">
        <v>0</v>
      </c>
      <c r="AY41" s="118">
        <v>0</v>
      </c>
      <c r="AZ41" s="118">
        <v>0</v>
      </c>
      <c r="BA41" s="118">
        <v>0</v>
      </c>
      <c r="BB41" s="118">
        <v>0</v>
      </c>
      <c r="BC41" s="118">
        <v>0</v>
      </c>
      <c r="BD41" s="118">
        <v>0</v>
      </c>
      <c r="BE41" s="118">
        <v>0</v>
      </c>
      <c r="BF41" s="118">
        <v>0</v>
      </c>
      <c r="BG41" s="118">
        <v>0</v>
      </c>
      <c r="BH41" s="118">
        <v>0</v>
      </c>
      <c r="BI41" s="118">
        <v>0</v>
      </c>
      <c r="BJ41" s="118">
        <v>0</v>
      </c>
      <c r="BK41" s="118">
        <v>0</v>
      </c>
      <c r="BL41" s="118">
        <v>0</v>
      </c>
      <c r="BM41" s="118">
        <v>0.1</v>
      </c>
      <c r="BN41" s="118">
        <v>0.1</v>
      </c>
      <c r="BO41" s="118">
        <v>0</v>
      </c>
      <c r="BP41" s="87">
        <v>40000</v>
      </c>
      <c r="BQ41" s="3">
        <v>8</v>
      </c>
      <c r="BR41" s="3">
        <v>20</v>
      </c>
      <c r="BS41" s="87">
        <v>7945</v>
      </c>
      <c r="BT41" s="87">
        <v>1035</v>
      </c>
      <c r="BU41" s="87">
        <v>4297.6971490372898</v>
      </c>
      <c r="BV41" s="181" t="s">
        <v>416</v>
      </c>
      <c r="BW41" s="87">
        <v>4.44400740547196</v>
      </c>
      <c r="BX41" s="87">
        <v>19098.997956797499</v>
      </c>
      <c r="BY41" s="181" t="s">
        <v>453</v>
      </c>
      <c r="BZ41" s="87">
        <v>67256.4366575022</v>
      </c>
      <c r="CA41" s="181" t="s">
        <v>420</v>
      </c>
      <c r="CB41" s="87">
        <v>3890</v>
      </c>
    </row>
    <row r="42" spans="1:140" x14ac:dyDescent="0.5">
      <c r="A42" s="82" t="s">
        <v>514</v>
      </c>
      <c r="B42" s="3" t="s">
        <v>585</v>
      </c>
      <c r="C42" s="3" t="s">
        <v>558</v>
      </c>
      <c r="D42" s="82">
        <v>10</v>
      </c>
      <c r="E42" s="82">
        <v>100</v>
      </c>
      <c r="F42" s="3" t="s">
        <v>324</v>
      </c>
      <c r="G42" s="82" t="s">
        <v>86</v>
      </c>
      <c r="H42" s="3" t="s">
        <v>121</v>
      </c>
      <c r="I42" s="116">
        <v>0.1</v>
      </c>
      <c r="J42" s="116">
        <v>0.9</v>
      </c>
      <c r="K42" s="116">
        <v>0</v>
      </c>
      <c r="L42" s="116">
        <v>0</v>
      </c>
      <c r="M42" s="116">
        <v>0</v>
      </c>
      <c r="N42" s="116">
        <v>0.7</v>
      </c>
      <c r="O42" s="116">
        <v>0.05</v>
      </c>
      <c r="P42" s="116">
        <v>0.1</v>
      </c>
      <c r="Q42" s="116">
        <v>0.15</v>
      </c>
      <c r="R42" s="116">
        <v>0</v>
      </c>
      <c r="S42" s="116">
        <v>0</v>
      </c>
      <c r="T42" s="116">
        <v>1</v>
      </c>
      <c r="U42" s="116">
        <v>0</v>
      </c>
      <c r="V42" s="82">
        <v>200</v>
      </c>
      <c r="W42" s="118">
        <v>0</v>
      </c>
      <c r="X42" s="118">
        <v>0</v>
      </c>
      <c r="Y42" s="118">
        <v>0.7</v>
      </c>
      <c r="Z42" s="118">
        <v>0</v>
      </c>
      <c r="AA42" s="118">
        <v>0</v>
      </c>
      <c r="AB42" s="118">
        <v>0</v>
      </c>
      <c r="AC42" s="118">
        <v>0</v>
      </c>
      <c r="AD42" s="118">
        <v>0</v>
      </c>
      <c r="AE42" s="118">
        <v>0.05</v>
      </c>
      <c r="AF42" s="118">
        <v>0</v>
      </c>
      <c r="AG42" s="118">
        <v>0</v>
      </c>
      <c r="AH42" s="118">
        <v>0.25</v>
      </c>
      <c r="AI42" s="118">
        <v>0</v>
      </c>
      <c r="AJ42" s="118">
        <v>0</v>
      </c>
      <c r="AK42" s="118">
        <v>0</v>
      </c>
      <c r="AL42" s="187">
        <v>0</v>
      </c>
      <c r="AM42" s="187">
        <v>0.1</v>
      </c>
      <c r="AN42" s="187">
        <v>0.5</v>
      </c>
      <c r="AO42" s="187">
        <v>0.4</v>
      </c>
      <c r="AP42" s="118">
        <v>0.2</v>
      </c>
      <c r="AQ42" s="118">
        <v>0.4</v>
      </c>
      <c r="AR42" s="118">
        <v>0.4</v>
      </c>
      <c r="AS42" s="118">
        <v>0</v>
      </c>
      <c r="AT42" s="118">
        <v>0</v>
      </c>
      <c r="AU42" s="118">
        <v>0.1</v>
      </c>
      <c r="AV42" s="118">
        <v>0</v>
      </c>
      <c r="AW42" s="118">
        <v>0</v>
      </c>
      <c r="AX42" s="118">
        <v>0</v>
      </c>
      <c r="AY42" s="118">
        <v>0.1</v>
      </c>
      <c r="AZ42" s="118">
        <v>0</v>
      </c>
      <c r="BA42" s="118">
        <v>0</v>
      </c>
      <c r="BB42" s="118">
        <v>0.1</v>
      </c>
      <c r="BC42" s="118">
        <v>0.1</v>
      </c>
      <c r="BD42" s="118">
        <v>0.1</v>
      </c>
      <c r="BE42" s="118">
        <v>0</v>
      </c>
      <c r="BF42" s="118">
        <v>0</v>
      </c>
      <c r="BG42" s="118">
        <v>0</v>
      </c>
      <c r="BH42" s="118">
        <v>0</v>
      </c>
      <c r="BI42" s="118">
        <v>0.1</v>
      </c>
      <c r="BJ42" s="118">
        <v>0</v>
      </c>
      <c r="BK42" s="118">
        <v>0</v>
      </c>
      <c r="BL42" s="118">
        <v>0.15</v>
      </c>
      <c r="BM42" s="118">
        <v>0.15</v>
      </c>
      <c r="BN42" s="118">
        <v>0.1</v>
      </c>
      <c r="BO42" s="118">
        <v>0</v>
      </c>
      <c r="BP42" s="87">
        <v>15000</v>
      </c>
      <c r="BQ42" s="3">
        <v>5</v>
      </c>
      <c r="BR42" s="3">
        <v>12</v>
      </c>
      <c r="BS42" s="87">
        <v>12000</v>
      </c>
      <c r="BT42" s="87"/>
      <c r="BU42" s="87">
        <v>7324.2521572589403</v>
      </c>
      <c r="BV42" s="181" t="s">
        <v>416</v>
      </c>
      <c r="BW42" s="87">
        <v>6.5345745085190501</v>
      </c>
      <c r="BX42" s="87">
        <v>47860.871440789902</v>
      </c>
      <c r="BY42" s="181" t="s">
        <v>420</v>
      </c>
      <c r="BZ42" s="87">
        <v>20575.713839378699</v>
      </c>
      <c r="CA42" s="181" t="s">
        <v>453</v>
      </c>
      <c r="CB42" s="87">
        <v>937.32959356422805</v>
      </c>
    </row>
    <row r="43" spans="1:140" x14ac:dyDescent="0.5">
      <c r="N43" s="116"/>
      <c r="O43" s="116"/>
      <c r="P43" s="116"/>
      <c r="Q43" s="116"/>
    </row>
    <row r="45" spans="1:140" x14ac:dyDescent="0.5">
      <c r="A45" s="117"/>
      <c r="B45" s="104"/>
      <c r="C45" s="104"/>
      <c r="D45" s="104"/>
      <c r="E45" s="104"/>
      <c r="F45" s="104"/>
      <c r="G45" s="117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17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</row>
  </sheetData>
  <mergeCells count="12">
    <mergeCell ref="A1:B1"/>
    <mergeCell ref="BU3:CB3"/>
    <mergeCell ref="R3:U3"/>
    <mergeCell ref="A3:H3"/>
    <mergeCell ref="I3:M3"/>
    <mergeCell ref="N3:Q3"/>
    <mergeCell ref="W3:AK3"/>
    <mergeCell ref="BP3:BQ3"/>
    <mergeCell ref="AL3:AO3"/>
    <mergeCell ref="AP3:AT3"/>
    <mergeCell ref="AU3:BO3"/>
    <mergeCell ref="BS3:BT3"/>
  </mergeCells>
  <phoneticPr fontId="2" type="noConversion"/>
  <dataValidations count="3">
    <dataValidation type="list" allowBlank="1" showInputMessage="1" showErrorMessage="1" sqref="F5:F44" xr:uid="{A7BCC89E-7CDB-4F56-BEA5-D5D48FECF507}">
      <formula1>Programme_type</formula1>
    </dataValidation>
    <dataValidation type="list" allowBlank="1" showInputMessage="1" showErrorMessage="1" sqref="G5:G42" xr:uid="{1498216A-5354-4F32-854D-1952AEF6A570}">
      <formula1>nzqf_levels</formula1>
    </dataValidation>
    <dataValidation type="list" allowBlank="1" showInputMessage="1" showErrorMessage="1" sqref="H5" xr:uid="{466B6567-2E0A-4BA8-803D-7A359526E1A7}">
      <formula1>NZSCED_label</formula1>
    </dataValidation>
  </dataValidation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520E7-5680-4E77-A53E-9698AC46AA9D}">
  <sheetPr codeName="Sheet3">
    <tabColor theme="3"/>
  </sheetPr>
  <dimension ref="A1:AZ527"/>
  <sheetViews>
    <sheetView topLeftCell="A323" zoomScaleNormal="100" workbookViewId="0">
      <selection activeCell="S327" sqref="S327"/>
    </sheetView>
  </sheetViews>
  <sheetFormatPr defaultColWidth="8.734375" defaultRowHeight="14.05" customHeight="1" x14ac:dyDescent="0.5"/>
  <cols>
    <col min="1" max="1" width="66.89453125" style="3" customWidth="1"/>
    <col min="2" max="18" width="12.734375" style="3" customWidth="1"/>
    <col min="19" max="16384" width="8.734375" style="3"/>
  </cols>
  <sheetData>
    <row r="1" spans="1:52" ht="49.5" customHeight="1" x14ac:dyDescent="0.5">
      <c r="A1" s="107" t="s">
        <v>301</v>
      </c>
    </row>
    <row r="3" spans="1:52" ht="14.05" customHeight="1" x14ac:dyDescent="0.5">
      <c r="A3" s="54" t="s">
        <v>22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</row>
    <row r="5" spans="1:52" ht="14.05" customHeight="1" x14ac:dyDescent="0.5">
      <c r="A5" s="3" t="s">
        <v>15</v>
      </c>
      <c r="B5" s="4">
        <v>1000</v>
      </c>
    </row>
    <row r="6" spans="1:52" ht="14.05" customHeight="1" x14ac:dyDescent="0.5">
      <c r="A6" s="3" t="s">
        <v>14</v>
      </c>
      <c r="B6" s="5">
        <v>0.5</v>
      </c>
    </row>
    <row r="7" spans="1:52" ht="14.05" customHeight="1" x14ac:dyDescent="0.5">
      <c r="A7" s="3" t="s">
        <v>19</v>
      </c>
      <c r="B7" s="6">
        <f>(B6 * B5^2)^0.5</f>
        <v>707.10678118654755</v>
      </c>
    </row>
    <row r="9" spans="1:52" ht="14.05" customHeight="1" x14ac:dyDescent="0.5">
      <c r="A9" s="7" t="s">
        <v>31</v>
      </c>
    </row>
    <row r="10" spans="1:52" ht="14.05" customHeight="1" x14ac:dyDescent="0.5">
      <c r="A10" s="265" t="str">
        <f>"Shifting a dairy farm's team capability by one standard deviation will have an impact on dairy farm profitability of about "&amp;TEXT(B7,"$0")&amp;" per hectare per year."</f>
        <v>Shifting a dairy farm's team capability by one standard deviation will have an impact on dairy farm profitability of about $707 per hectare per year.</v>
      </c>
    </row>
    <row r="11" spans="1:52" ht="14.05" customHeight="1" x14ac:dyDescent="0.5">
      <c r="A11" s="265"/>
    </row>
    <row r="12" spans="1:52" ht="14.05" customHeight="1" x14ac:dyDescent="0.5">
      <c r="A12" s="265"/>
    </row>
    <row r="14" spans="1:52" ht="14.05" customHeight="1" x14ac:dyDescent="0.5">
      <c r="A14" s="3" t="s">
        <v>16</v>
      </c>
      <c r="B14" s="8">
        <v>150</v>
      </c>
    </row>
    <row r="15" spans="1:52" ht="14.05" customHeight="1" x14ac:dyDescent="0.5">
      <c r="A15" s="3" t="s">
        <v>20</v>
      </c>
      <c r="B15" s="6">
        <f>B14*B7</f>
        <v>106066.01717798214</v>
      </c>
    </row>
    <row r="17" spans="1:52" ht="14.05" customHeight="1" x14ac:dyDescent="0.5">
      <c r="A17" s="7" t="s">
        <v>31</v>
      </c>
    </row>
    <row r="18" spans="1:52" ht="14.05" customHeight="1" x14ac:dyDescent="0.5">
      <c r="A18" s="265" t="str">
        <f>"Shifting a dairy farm’s team capability by one standard deviation in will have an impact on dairy farm industry profitability of about "&amp;TEXT(B15,"$0,000")&amp;" per hectare per year."</f>
        <v>Shifting a dairy farm’s team capability by one standard deviation in will have an impact on dairy farm industry profitability of about $106,066 per hectare per year.</v>
      </c>
    </row>
    <row r="19" spans="1:52" ht="14.05" customHeight="1" x14ac:dyDescent="0.5">
      <c r="A19" s="265"/>
    </row>
    <row r="20" spans="1:52" ht="14.05" customHeight="1" x14ac:dyDescent="0.5">
      <c r="A20" s="265"/>
    </row>
    <row r="23" spans="1:52" ht="14.05" customHeight="1" x14ac:dyDescent="0.5">
      <c r="A23" s="9" t="s">
        <v>23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</row>
    <row r="25" spans="1:52" ht="14.05" customHeight="1" x14ac:dyDescent="0.5">
      <c r="A25" s="11" t="s">
        <v>21</v>
      </c>
    </row>
    <row r="26" spans="1:52" ht="14.05" customHeight="1" x14ac:dyDescent="0.5">
      <c r="A26" s="19" t="str" cm="1">
        <f t="array" ref="A26:A27">capability_areas</f>
        <v>Production management</v>
      </c>
      <c r="B26" s="12">
        <v>0.55000000000000004</v>
      </c>
    </row>
    <row r="27" spans="1:52" ht="14.05" customHeight="1" x14ac:dyDescent="0.5">
      <c r="A27" s="19" t="str">
        <v>Business management</v>
      </c>
      <c r="B27" s="12">
        <v>0.45</v>
      </c>
    </row>
    <row r="29" spans="1:52" ht="14.05" customHeight="1" x14ac:dyDescent="0.5">
      <c r="A29" s="11" t="s">
        <v>25</v>
      </c>
    </row>
    <row r="30" spans="1:52" ht="14.05" customHeight="1" x14ac:dyDescent="0.5">
      <c r="A30" s="3" t="s">
        <v>17</v>
      </c>
      <c r="B30" s="13">
        <v>3</v>
      </c>
    </row>
    <row r="31" spans="1:52" ht="14.05" customHeight="1" x14ac:dyDescent="0.5">
      <c r="A31" s="3" t="s">
        <v>18</v>
      </c>
      <c r="B31" s="3">
        <f>B14/B30</f>
        <v>50</v>
      </c>
    </row>
    <row r="33" spans="1:6" ht="14.05" customHeight="1" x14ac:dyDescent="0.5">
      <c r="A33" s="11" t="s">
        <v>24</v>
      </c>
    </row>
    <row r="34" spans="1:6" ht="25.8" x14ac:dyDescent="0.5">
      <c r="A34" s="14" t="s">
        <v>2</v>
      </c>
      <c r="B34" s="15" t="s">
        <v>4</v>
      </c>
      <c r="C34" s="15" t="s">
        <v>3</v>
      </c>
      <c r="D34" s="15" t="s">
        <v>26</v>
      </c>
      <c r="E34" s="16"/>
    </row>
    <row r="35" spans="1:6" ht="14.05" customHeight="1" x14ac:dyDescent="0.5">
      <c r="A35" s="19" t="str" cm="1">
        <f t="array" ref="A35:A38">roles</f>
        <v>Strategic manager</v>
      </c>
      <c r="B35" s="17">
        <v>16000</v>
      </c>
      <c r="C35" s="18">
        <f>B35/$B$39</f>
        <v>0.4</v>
      </c>
      <c r="D35" s="19">
        <f>$D$39*C35</f>
        <v>1.2000000000000002</v>
      </c>
    </row>
    <row r="36" spans="1:6" ht="14.05" customHeight="1" x14ac:dyDescent="0.5">
      <c r="A36" s="19" t="str">
        <v>Manager</v>
      </c>
      <c r="B36" s="17">
        <v>4000</v>
      </c>
      <c r="C36" s="18">
        <f t="shared" ref="C36:C39" si="0">B36/$B$39</f>
        <v>0.1</v>
      </c>
      <c r="D36" s="19">
        <f t="shared" ref="D36:D38" si="1">$D$39*C36</f>
        <v>0.30000000000000004</v>
      </c>
    </row>
    <row r="37" spans="1:6" ht="14.05" customHeight="1" x14ac:dyDescent="0.5">
      <c r="A37" s="19" t="str">
        <v>Semi-autonomous</v>
      </c>
      <c r="B37" s="17">
        <v>4000</v>
      </c>
      <c r="C37" s="18">
        <f t="shared" si="0"/>
        <v>0.1</v>
      </c>
      <c r="D37" s="19">
        <f t="shared" si="1"/>
        <v>0.30000000000000004</v>
      </c>
    </row>
    <row r="38" spans="1:6" ht="14.05" customHeight="1" x14ac:dyDescent="0.5">
      <c r="A38" s="19" t="str">
        <v>Managed</v>
      </c>
      <c r="B38" s="17">
        <v>16000</v>
      </c>
      <c r="C38" s="18">
        <f t="shared" si="0"/>
        <v>0.4</v>
      </c>
      <c r="D38" s="19">
        <f t="shared" si="1"/>
        <v>1.2000000000000002</v>
      </c>
    </row>
    <row r="39" spans="1:6" ht="14.05" customHeight="1" x14ac:dyDescent="0.5">
      <c r="A39" s="19"/>
      <c r="B39" s="20">
        <f>SUM(B35:B38)</f>
        <v>40000</v>
      </c>
      <c r="C39" s="21">
        <f t="shared" si="0"/>
        <v>1</v>
      </c>
      <c r="D39" s="22">
        <f>B30</f>
        <v>3</v>
      </c>
    </row>
    <row r="41" spans="1:6" ht="14.05" customHeight="1" x14ac:dyDescent="0.5">
      <c r="A41" s="11" t="s">
        <v>29</v>
      </c>
    </row>
    <row r="42" spans="1:6" ht="26.05" customHeight="1" x14ac:dyDescent="0.5">
      <c r="A42" s="14" t="s">
        <v>30</v>
      </c>
      <c r="B42" s="23" t="str" cm="1">
        <f t="array" ref="B42:E42">TRANSPOSE(roles)</f>
        <v>Strategic manager</v>
      </c>
      <c r="C42" s="23" t="str">
        <v>Manager</v>
      </c>
      <c r="D42" s="23" t="str">
        <v>Semi-autonomous</v>
      </c>
      <c r="E42" s="23" t="str">
        <v>Managed</v>
      </c>
    </row>
    <row r="43" spans="1:6" ht="14.05" customHeight="1" x14ac:dyDescent="0.5">
      <c r="A43" s="24" t="str" cm="1">
        <f t="array" ref="A43:A44">capability_areas</f>
        <v>Production management</v>
      </c>
      <c r="B43" s="17">
        <v>8</v>
      </c>
      <c r="C43" s="17">
        <v>4</v>
      </c>
      <c r="D43" s="17">
        <v>2</v>
      </c>
      <c r="E43" s="17">
        <v>1</v>
      </c>
    </row>
    <row r="44" spans="1:6" ht="14.05" customHeight="1" x14ac:dyDescent="0.5">
      <c r="A44" s="24" t="str">
        <v>Business management</v>
      </c>
      <c r="B44" s="17">
        <v>10</v>
      </c>
      <c r="C44" s="17">
        <v>3</v>
      </c>
      <c r="D44" s="17">
        <v>1</v>
      </c>
      <c r="E44" s="17">
        <v>0</v>
      </c>
    </row>
    <row r="47" spans="1:6" ht="14.05" customHeight="1" x14ac:dyDescent="0.5">
      <c r="A47" s="11" t="s">
        <v>27</v>
      </c>
    </row>
    <row r="48" spans="1:6" ht="27.55" customHeight="1" x14ac:dyDescent="0.5">
      <c r="A48" s="25"/>
      <c r="B48" s="23" t="str" cm="1">
        <f t="array" ref="B48:E48">TRANSPOSE(roles)</f>
        <v>Strategic manager</v>
      </c>
      <c r="C48" s="23" t="str">
        <v>Manager</v>
      </c>
      <c r="D48" s="23" t="str">
        <v>Semi-autonomous</v>
      </c>
      <c r="E48" s="23" t="str">
        <v>Managed</v>
      </c>
      <c r="F48" s="23" t="s">
        <v>8</v>
      </c>
    </row>
    <row r="49" spans="1:6" ht="14.05" customHeight="1" x14ac:dyDescent="0.5">
      <c r="A49" s="19" t="s">
        <v>28</v>
      </c>
      <c r="B49" s="26">
        <f>_xlfn.XLOOKUP(B48,roles,$D$35:$D$38)</f>
        <v>1.2000000000000002</v>
      </c>
      <c r="C49" s="26">
        <f>_xlfn.XLOOKUP(C48,roles,$D$35:$D$38)</f>
        <v>0.30000000000000004</v>
      </c>
      <c r="D49" s="26">
        <f>_xlfn.XLOOKUP(D48,roles,$D$35:$D$38)</f>
        <v>0.30000000000000004</v>
      </c>
      <c r="E49" s="26">
        <f>_xlfn.XLOOKUP(E48,roles,$D$35:$D$38)</f>
        <v>1.2000000000000002</v>
      </c>
      <c r="F49" s="27">
        <f>SUM(B49:E49)</f>
        <v>3.0000000000000004</v>
      </c>
    </row>
    <row r="50" spans="1:6" ht="14.05" customHeight="1" x14ac:dyDescent="0.5">
      <c r="B50" s="28"/>
      <c r="C50" s="28"/>
      <c r="D50" s="28"/>
      <c r="E50" s="28"/>
      <c r="F50" s="29"/>
    </row>
    <row r="51" spans="1:6" ht="14.05" customHeight="1" x14ac:dyDescent="0.5">
      <c r="A51" s="30" t="s">
        <v>11</v>
      </c>
      <c r="B51" s="28"/>
      <c r="C51" s="28"/>
      <c r="D51" s="28"/>
      <c r="E51" s="28"/>
      <c r="F51" s="29"/>
    </row>
    <row r="52" spans="1:6" ht="14.05" customHeight="1" x14ac:dyDescent="0.5">
      <c r="A52" s="24" t="str" cm="1">
        <f t="array" ref="A52:A53">capability_areas</f>
        <v>Production management</v>
      </c>
      <c r="B52" s="26">
        <f>B$49*B43</f>
        <v>9.6000000000000014</v>
      </c>
      <c r="C52" s="26">
        <f t="shared" ref="C52:E52" si="2">C$49*C43</f>
        <v>1.2000000000000002</v>
      </c>
      <c r="D52" s="26">
        <f t="shared" si="2"/>
        <v>0.60000000000000009</v>
      </c>
      <c r="E52" s="26">
        <f t="shared" si="2"/>
        <v>1.2000000000000002</v>
      </c>
      <c r="F52" s="31">
        <f>SUM(B52:E52)</f>
        <v>12.600000000000001</v>
      </c>
    </row>
    <row r="53" spans="1:6" ht="14.05" customHeight="1" x14ac:dyDescent="0.5">
      <c r="A53" s="24" t="str">
        <v>Business management</v>
      </c>
      <c r="B53" s="26">
        <f>B$49*B44</f>
        <v>12.000000000000002</v>
      </c>
      <c r="C53" s="26">
        <f t="shared" ref="C53:E53" si="3">C$49*C44</f>
        <v>0.90000000000000013</v>
      </c>
      <c r="D53" s="26">
        <f t="shared" si="3"/>
        <v>0.30000000000000004</v>
      </c>
      <c r="E53" s="26">
        <f t="shared" si="3"/>
        <v>0</v>
      </c>
      <c r="F53" s="31">
        <f>SUM(B53:E53)</f>
        <v>13.200000000000003</v>
      </c>
    </row>
    <row r="54" spans="1:6" ht="14.05" customHeight="1" x14ac:dyDescent="0.5">
      <c r="B54" s="28"/>
      <c r="C54" s="28"/>
      <c r="D54" s="28"/>
      <c r="E54" s="28"/>
      <c r="F54" s="29"/>
    </row>
    <row r="55" spans="1:6" ht="14.05" customHeight="1" x14ac:dyDescent="0.5">
      <c r="A55" s="30" t="s">
        <v>12</v>
      </c>
      <c r="B55" s="28"/>
      <c r="C55" s="28"/>
      <c r="D55" s="28"/>
      <c r="E55" s="28"/>
      <c r="F55" s="29"/>
    </row>
    <row r="56" spans="1:6" ht="14.05" customHeight="1" x14ac:dyDescent="0.5">
      <c r="A56" s="24" t="str" cm="1">
        <f t="array" ref="A56:A57">capability_areas</f>
        <v>Production management</v>
      </c>
      <c r="B56" s="32">
        <f>$F56*B52/$F52</f>
        <v>0.41904761904761911</v>
      </c>
      <c r="C56" s="32">
        <f t="shared" ref="C56:E57" si="4">$F56*C52/$F52</f>
        <v>5.2380952380952389E-2</v>
      </c>
      <c r="D56" s="32">
        <f t="shared" si="4"/>
        <v>2.6190476190476195E-2</v>
      </c>
      <c r="E56" s="32">
        <f t="shared" si="4"/>
        <v>5.2380952380952389E-2</v>
      </c>
      <c r="F56" s="21">
        <f>B26</f>
        <v>0.55000000000000004</v>
      </c>
    </row>
    <row r="57" spans="1:6" ht="14.05" customHeight="1" x14ac:dyDescent="0.5">
      <c r="A57" s="24" t="str">
        <v>Business management</v>
      </c>
      <c r="B57" s="32">
        <f>$F57*B53/$F53</f>
        <v>0.40909090909090912</v>
      </c>
      <c r="C57" s="32">
        <f t="shared" si="4"/>
        <v>3.0681818181818182E-2</v>
      </c>
      <c r="D57" s="32">
        <f t="shared" si="4"/>
        <v>1.0227272727272727E-2</v>
      </c>
      <c r="E57" s="32">
        <f t="shared" si="4"/>
        <v>0</v>
      </c>
      <c r="F57" s="21">
        <f>B27</f>
        <v>0.45</v>
      </c>
    </row>
    <row r="58" spans="1:6" ht="14.05" customHeight="1" x14ac:dyDescent="0.5">
      <c r="A58" s="24"/>
      <c r="B58" s="33">
        <f>SUM(B56:B57)</f>
        <v>0.82813852813852828</v>
      </c>
      <c r="C58" s="33">
        <f t="shared" ref="C58:F58" si="5">SUM(C56:C57)</f>
        <v>8.3062770562770574E-2</v>
      </c>
      <c r="D58" s="33">
        <f t="shared" si="5"/>
        <v>3.6417748917748918E-2</v>
      </c>
      <c r="E58" s="33">
        <f t="shared" si="5"/>
        <v>5.2380952380952389E-2</v>
      </c>
      <c r="F58" s="32">
        <f t="shared" si="5"/>
        <v>1</v>
      </c>
    </row>
    <row r="59" spans="1:6" ht="14.05" customHeight="1" x14ac:dyDescent="0.5">
      <c r="A59" s="30"/>
      <c r="B59" s="28"/>
      <c r="C59" s="28"/>
      <c r="D59" s="28"/>
      <c r="E59" s="28"/>
      <c r="F59" s="29"/>
    </row>
    <row r="60" spans="1:6" ht="14.05" customHeight="1" x14ac:dyDescent="0.5">
      <c r="A60" s="30" t="s">
        <v>13</v>
      </c>
      <c r="B60" s="28"/>
      <c r="C60" s="28"/>
      <c r="D60" s="28"/>
      <c r="E60" s="28"/>
      <c r="F60" s="29"/>
    </row>
    <row r="61" spans="1:6" ht="14.05" customHeight="1" x14ac:dyDescent="0.5">
      <c r="A61" s="24" t="str" cm="1">
        <f t="array" ref="A61:A62">capability_areas</f>
        <v>Production management</v>
      </c>
      <c r="B61" s="32">
        <f>B56/B$49</f>
        <v>0.34920634920634919</v>
      </c>
      <c r="C61" s="32">
        <f t="shared" ref="C61:E61" si="6">C56/C$49</f>
        <v>0.17460317460317459</v>
      </c>
      <c r="D61" s="32">
        <f t="shared" si="6"/>
        <v>8.7301587301587297E-2</v>
      </c>
      <c r="E61" s="32">
        <f t="shared" si="6"/>
        <v>4.3650793650793648E-2</v>
      </c>
      <c r="F61" s="29"/>
    </row>
    <row r="62" spans="1:6" ht="14.05" customHeight="1" x14ac:dyDescent="0.5">
      <c r="A62" s="24" t="str">
        <v>Business management</v>
      </c>
      <c r="B62" s="32">
        <f>B57/B$49</f>
        <v>0.34090909090909088</v>
      </c>
      <c r="C62" s="32">
        <f t="shared" ref="C62:E62" si="7">C57/C$49</f>
        <v>0.10227272727272725</v>
      </c>
      <c r="D62" s="32">
        <f t="shared" si="7"/>
        <v>3.4090909090909088E-2</v>
      </c>
      <c r="E62" s="32">
        <f t="shared" si="7"/>
        <v>0</v>
      </c>
      <c r="F62" s="29"/>
    </row>
    <row r="63" spans="1:6" ht="14.05" customHeight="1" x14ac:dyDescent="0.5">
      <c r="F63" s="29"/>
    </row>
    <row r="64" spans="1:6" ht="14.05" customHeight="1" x14ac:dyDescent="0.5">
      <c r="A64" s="30" t="s">
        <v>32</v>
      </c>
      <c r="B64" s="28"/>
      <c r="C64" s="28"/>
      <c r="D64" s="28"/>
      <c r="E64" s="28"/>
      <c r="F64" s="29"/>
    </row>
    <row r="65" spans="1:52" ht="14.05" customHeight="1" x14ac:dyDescent="0.5">
      <c r="A65" s="24" t="str" cm="1">
        <f t="array" ref="A65:A66">capability_areas</f>
        <v>Production management</v>
      </c>
      <c r="B65" s="34">
        <f>B61*$B$15</f>
        <v>37038.926633581061</v>
      </c>
      <c r="C65" s="34">
        <f t="shared" ref="C65:E65" si="8">C61*$B$15</f>
        <v>18519.46331679053</v>
      </c>
      <c r="D65" s="34">
        <f t="shared" si="8"/>
        <v>9259.7316583952652</v>
      </c>
      <c r="E65" s="34">
        <f t="shared" si="8"/>
        <v>4629.8658291976326</v>
      </c>
      <c r="F65" s="29"/>
    </row>
    <row r="66" spans="1:52" ht="14.05" customHeight="1" x14ac:dyDescent="0.5">
      <c r="A66" s="24" t="str">
        <v>Business management</v>
      </c>
      <c r="B66" s="34">
        <f>B62*$B$15</f>
        <v>36158.869492493912</v>
      </c>
      <c r="C66" s="34">
        <f t="shared" ref="C66:E66" si="9">C62*$B$15</f>
        <v>10847.660847748171</v>
      </c>
      <c r="D66" s="34">
        <f t="shared" si="9"/>
        <v>3615.8869492493909</v>
      </c>
      <c r="E66" s="34">
        <f t="shared" si="9"/>
        <v>0</v>
      </c>
      <c r="F66" s="29"/>
    </row>
    <row r="67" spans="1:52" ht="14.05" customHeight="1" x14ac:dyDescent="0.5">
      <c r="F67" s="29"/>
    </row>
    <row r="68" spans="1:52" ht="14.05" customHeight="1" x14ac:dyDescent="0.5">
      <c r="A68" s="30" t="s">
        <v>56</v>
      </c>
      <c r="F68" s="29"/>
    </row>
    <row r="69" spans="1:52" ht="14.05" customHeight="1" x14ac:dyDescent="0.5">
      <c r="A69" s="3" t="s">
        <v>2</v>
      </c>
      <c r="B69" s="267" t="s">
        <v>5</v>
      </c>
      <c r="C69" s="267"/>
    </row>
    <row r="70" spans="1:52" ht="14.05" customHeight="1" x14ac:dyDescent="0.5">
      <c r="A70" s="3" t="s">
        <v>57</v>
      </c>
      <c r="B70" s="267" t="s">
        <v>1</v>
      </c>
      <c r="C70" s="267"/>
    </row>
    <row r="72" spans="1:52" ht="14.05" customHeight="1" x14ac:dyDescent="0.5">
      <c r="A72" s="7" t="s">
        <v>31</v>
      </c>
    </row>
    <row r="73" spans="1:52" ht="14.05" customHeight="1" x14ac:dyDescent="0.5">
      <c r="A73" s="265" t="str">
        <f>CONCATENATE("Shifting a ",B69,"'s capability at ",B70," by an amount one standard deviation of the variation of all ",B69,"'s capability at ",B70," will have an impact on industry profitability of about ",TEXT(INDEX($B$65:$E$66,MATCH(B70,capability_areas,0),MATCH(B69,roles,0)),"$0,000"), " per year.")</f>
        <v>Shifting a Manager's capability at Business management by an amount one standard deviation of the variation of all Manager's capability at Business management will have an impact on industry profitability of about $10,848 per year.</v>
      </c>
    </row>
    <row r="74" spans="1:52" ht="14.05" customHeight="1" x14ac:dyDescent="0.5">
      <c r="A74" s="265"/>
    </row>
    <row r="75" spans="1:52" ht="14.05" customHeight="1" x14ac:dyDescent="0.5">
      <c r="A75" s="265"/>
    </row>
    <row r="76" spans="1:52" ht="14.05" customHeight="1" x14ac:dyDescent="0.5">
      <c r="A76" s="265"/>
    </row>
    <row r="77" spans="1:52" ht="14.05" customHeight="1" x14ac:dyDescent="0.5">
      <c r="A77" s="265"/>
    </row>
    <row r="80" spans="1:52" ht="14.05" customHeight="1" x14ac:dyDescent="0.5">
      <c r="A80" s="93" t="s">
        <v>213</v>
      </c>
      <c r="B80" s="228"/>
      <c r="C80" s="228"/>
      <c r="D80" s="228"/>
      <c r="E80" s="228"/>
      <c r="F80" s="228"/>
      <c r="G80" s="228"/>
      <c r="H80" s="228"/>
      <c r="I80" s="228"/>
      <c r="J80" s="228"/>
      <c r="K80" s="228"/>
      <c r="L80" s="228"/>
      <c r="M80" s="228"/>
      <c r="N80" s="228"/>
      <c r="O80" s="228"/>
      <c r="P80" s="228"/>
      <c r="Q80" s="228"/>
      <c r="R80" s="228"/>
      <c r="S80" s="228"/>
      <c r="T80" s="228"/>
      <c r="U80" s="228"/>
      <c r="V80" s="228"/>
      <c r="W80" s="228"/>
      <c r="X80" s="228"/>
      <c r="Y80" s="228"/>
      <c r="Z80" s="228"/>
      <c r="AA80" s="228"/>
      <c r="AB80" s="228"/>
      <c r="AC80" s="228"/>
      <c r="AD80" s="228"/>
      <c r="AE80" s="228"/>
      <c r="AF80" s="228"/>
      <c r="AG80" s="228"/>
      <c r="AH80" s="228"/>
      <c r="AI80" s="228"/>
      <c r="AJ80" s="228"/>
      <c r="AK80" s="228"/>
      <c r="AL80" s="228"/>
      <c r="AM80" s="228"/>
      <c r="AN80" s="228"/>
      <c r="AO80" s="228"/>
      <c r="AP80" s="228"/>
      <c r="AQ80" s="228"/>
      <c r="AR80" s="228"/>
      <c r="AS80" s="228"/>
      <c r="AT80" s="228"/>
      <c r="AU80" s="228"/>
      <c r="AV80" s="228"/>
      <c r="AW80" s="228"/>
      <c r="AX80" s="228"/>
      <c r="AY80" s="228"/>
      <c r="AZ80" s="228"/>
    </row>
    <row r="83" spans="1:3" ht="63.55" customHeight="1" x14ac:dyDescent="0.5">
      <c r="A83" s="229" t="s">
        <v>214</v>
      </c>
      <c r="B83" s="230" t="s">
        <v>215</v>
      </c>
      <c r="C83" s="230" t="s">
        <v>216</v>
      </c>
    </row>
    <row r="84" spans="1:3" ht="14.05" customHeight="1" x14ac:dyDescent="0.5">
      <c r="A84" s="231" t="str" cm="1">
        <f t="array" ref="A84:A98">industries</f>
        <v>Apiculture</v>
      </c>
      <c r="B84" s="232">
        <v>82980.735551663762</v>
      </c>
      <c r="C84" s="233">
        <f>B84/$B$86</f>
        <v>0.48176432184668488</v>
      </c>
    </row>
    <row r="85" spans="1:3" ht="14.05" customHeight="1" x14ac:dyDescent="0.5">
      <c r="A85" s="231" t="str">
        <v>Arable</v>
      </c>
      <c r="B85" s="232">
        <v>102122.86276289908</v>
      </c>
      <c r="C85" s="233">
        <f t="shared" ref="C85:C98" si="10">B85/$B$86</f>
        <v>0.59289847694081688</v>
      </c>
    </row>
    <row r="86" spans="1:3" ht="14.05" customHeight="1" x14ac:dyDescent="0.5">
      <c r="A86" s="231" t="str">
        <v>Dairy farming</v>
      </c>
      <c r="B86" s="232">
        <v>172243.42233062099</v>
      </c>
      <c r="C86" s="233">
        <f>B86/$B$86</f>
        <v>1</v>
      </c>
    </row>
    <row r="87" spans="1:3" ht="14.05" customHeight="1" x14ac:dyDescent="0.5">
      <c r="A87" s="231" t="str">
        <v>Equine, dogs and racing</v>
      </c>
      <c r="B87" s="232">
        <v>21603.753910323248</v>
      </c>
      <c r="C87" s="233">
        <f t="shared" si="10"/>
        <v>0.12542571215784876</v>
      </c>
    </row>
    <row r="88" spans="1:3" ht="14.05" customHeight="1" x14ac:dyDescent="0.5">
      <c r="A88" s="231" t="str">
        <v>Forestry</v>
      </c>
      <c r="B88" s="232">
        <v>91594.102741303839</v>
      </c>
      <c r="C88" s="233">
        <f t="shared" si="10"/>
        <v>0.531771265932519</v>
      </c>
    </row>
    <row r="89" spans="1:3" ht="14.05" customHeight="1" x14ac:dyDescent="0.5">
      <c r="A89" s="231" t="str">
        <v>Fruit</v>
      </c>
      <c r="B89" s="232">
        <v>73429.433845439387</v>
      </c>
      <c r="C89" s="233">
        <f t="shared" si="10"/>
        <v>0.42631197668896581</v>
      </c>
    </row>
    <row r="90" spans="1:3" ht="14.05" customHeight="1" x14ac:dyDescent="0.5">
      <c r="A90" s="231" t="str">
        <v>Grapes and wine</v>
      </c>
      <c r="B90" s="232">
        <v>128211.67180277349</v>
      </c>
      <c r="C90" s="233">
        <f t="shared" si="10"/>
        <v>0.7443632393501296</v>
      </c>
    </row>
    <row r="91" spans="1:3" ht="14.05" customHeight="1" x14ac:dyDescent="0.5">
      <c r="A91" s="231" t="str">
        <v>Nursery, turf and gardening</v>
      </c>
      <c r="B91" s="232">
        <v>53620.857108170465</v>
      </c>
      <c r="C91" s="233">
        <f t="shared" si="10"/>
        <v>0.31130859096172225</v>
      </c>
    </row>
    <row r="92" spans="1:3" ht="14.05" customHeight="1" x14ac:dyDescent="0.5">
      <c r="A92" s="231" t="str">
        <v>Poultry, pigs &amp; other livestock</v>
      </c>
      <c r="B92" s="232">
        <v>122977.3755656109</v>
      </c>
      <c r="C92" s="233">
        <f t="shared" si="10"/>
        <v>0.71397429232192111</v>
      </c>
    </row>
    <row r="93" spans="1:3" ht="14.05" customHeight="1" x14ac:dyDescent="0.5">
      <c r="A93" s="231" t="str">
        <v>Seafood - production</v>
      </c>
      <c r="B93" s="232">
        <v>90110.152621101544</v>
      </c>
      <c r="C93" s="233">
        <f t="shared" si="10"/>
        <v>0.52315584189993181</v>
      </c>
    </row>
    <row r="94" spans="1:3" ht="14.05" customHeight="1" x14ac:dyDescent="0.5">
      <c r="A94" s="231" t="str">
        <v>Seafood - processing</v>
      </c>
      <c r="B94" s="232">
        <v>85803.865425912678</v>
      </c>
      <c r="C94" s="233">
        <f t="shared" si="10"/>
        <v>0.49815467124899715</v>
      </c>
    </row>
    <row r="95" spans="1:3" ht="14.05" customHeight="1" x14ac:dyDescent="0.5">
      <c r="A95" s="231" t="str">
        <v>Sheep, beef and deer farming</v>
      </c>
      <c r="B95" s="232">
        <v>89859.652299891372</v>
      </c>
      <c r="C95" s="233">
        <f t="shared" si="10"/>
        <v>0.52170150293115924</v>
      </c>
    </row>
    <row r="96" spans="1:3" ht="14.05" customHeight="1" x14ac:dyDescent="0.5">
      <c r="A96" s="231" t="str">
        <v>Support services</v>
      </c>
      <c r="B96" s="232">
        <v>68609.021966116619</v>
      </c>
      <c r="C96" s="233">
        <f t="shared" si="10"/>
        <v>0.39832593336668443</v>
      </c>
    </row>
    <row r="97" spans="1:52" ht="14.05" customHeight="1" x14ac:dyDescent="0.5">
      <c r="A97" s="231" t="str">
        <v>Vegetables</v>
      </c>
      <c r="B97" s="232">
        <v>72127.881687690315</v>
      </c>
      <c r="C97" s="233">
        <f t="shared" si="10"/>
        <v>0.41875550724509497</v>
      </c>
    </row>
    <row r="98" spans="1:52" ht="14.05" customHeight="1" x14ac:dyDescent="0.5">
      <c r="A98" s="231" t="str">
        <v>Veterinary</v>
      </c>
      <c r="B98" s="232">
        <v>102499.35517152437</v>
      </c>
      <c r="C98" s="233">
        <f t="shared" si="10"/>
        <v>0.59508429282586484</v>
      </c>
    </row>
    <row r="101" spans="1:52" ht="14.05" customHeight="1" x14ac:dyDescent="0.5">
      <c r="A101" s="35" t="s">
        <v>33</v>
      </c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</row>
    <row r="103" spans="1:52" ht="14.05" customHeight="1" x14ac:dyDescent="0.5">
      <c r="A103" s="11" t="s">
        <v>53</v>
      </c>
    </row>
    <row r="104" spans="1:52" ht="14.05" customHeight="1" x14ac:dyDescent="0.5">
      <c r="A104" s="11"/>
    </row>
    <row r="105" spans="1:52" ht="14.05" customHeight="1" x14ac:dyDescent="0.5">
      <c r="A105" s="30" t="s">
        <v>34</v>
      </c>
    </row>
    <row r="106" spans="1:52" ht="35.049999999999997" customHeight="1" x14ac:dyDescent="0.5">
      <c r="A106" s="37" t="s">
        <v>250</v>
      </c>
      <c r="B106" s="38" t="s">
        <v>35</v>
      </c>
      <c r="C106" s="38" t="s">
        <v>36</v>
      </c>
    </row>
    <row r="107" spans="1:52" ht="14.05" customHeight="1" x14ac:dyDescent="0.5">
      <c r="A107" s="39" t="str" cm="1">
        <f t="array" ref="A107:A108">capability_areas</f>
        <v>Production management</v>
      </c>
      <c r="B107" s="40">
        <v>0.4</v>
      </c>
      <c r="C107" s="40">
        <v>0.2</v>
      </c>
    </row>
    <row r="108" spans="1:52" ht="14.05" customHeight="1" x14ac:dyDescent="0.5">
      <c r="A108" s="39" t="str">
        <v>Business management</v>
      </c>
      <c r="B108" s="40">
        <v>0.6</v>
      </c>
      <c r="C108" s="40">
        <v>0.4</v>
      </c>
    </row>
    <row r="110" spans="1:52" ht="14.05" customHeight="1" x14ac:dyDescent="0.5">
      <c r="A110" s="30" t="s">
        <v>51</v>
      </c>
    </row>
    <row r="111" spans="1:52" ht="36" customHeight="1" x14ac:dyDescent="0.5">
      <c r="A111" s="41" t="s">
        <v>52</v>
      </c>
      <c r="B111" s="38" t="str" cm="1">
        <f t="array" ref="B111:C111">TRANSPOSE(capability_areas)</f>
        <v>Production management</v>
      </c>
      <c r="C111" s="38" t="str">
        <v>Business management</v>
      </c>
    </row>
    <row r="112" spans="1:52" ht="14.05" customHeight="1" x14ac:dyDescent="0.5">
      <c r="A112" s="39" t="str" cm="1">
        <f t="array" ref="A112:A126">industries</f>
        <v>Apiculture</v>
      </c>
      <c r="B112" s="42">
        <v>15</v>
      </c>
      <c r="C112" s="42">
        <v>25</v>
      </c>
    </row>
    <row r="113" spans="1:3" ht="14.05" customHeight="1" x14ac:dyDescent="0.5">
      <c r="A113" s="39" t="str">
        <v>Arable</v>
      </c>
      <c r="B113" s="42">
        <v>15</v>
      </c>
      <c r="C113" s="42">
        <v>25</v>
      </c>
    </row>
    <row r="114" spans="1:3" ht="14.05" customHeight="1" x14ac:dyDescent="0.5">
      <c r="A114" s="39" t="str">
        <v>Dairy farming</v>
      </c>
      <c r="B114" s="42">
        <v>15</v>
      </c>
      <c r="C114" s="42">
        <v>25</v>
      </c>
    </row>
    <row r="115" spans="1:3" ht="14.05" customHeight="1" x14ac:dyDescent="0.5">
      <c r="A115" s="39" t="str">
        <v>Equine, dogs and racing</v>
      </c>
      <c r="B115" s="42">
        <v>15</v>
      </c>
      <c r="C115" s="42">
        <v>25</v>
      </c>
    </row>
    <row r="116" spans="1:3" ht="14.05" customHeight="1" x14ac:dyDescent="0.5">
      <c r="A116" s="39" t="str">
        <v>Forestry</v>
      </c>
      <c r="B116" s="42">
        <v>15</v>
      </c>
      <c r="C116" s="42">
        <v>25</v>
      </c>
    </row>
    <row r="117" spans="1:3" ht="14.05" customHeight="1" x14ac:dyDescent="0.5">
      <c r="A117" s="39" t="str">
        <v>Fruit</v>
      </c>
      <c r="B117" s="42">
        <v>15</v>
      </c>
      <c r="C117" s="42">
        <v>25</v>
      </c>
    </row>
    <row r="118" spans="1:3" ht="14.05" customHeight="1" x14ac:dyDescent="0.5">
      <c r="A118" s="39" t="str">
        <v>Grapes and wine</v>
      </c>
      <c r="B118" s="42">
        <v>15</v>
      </c>
      <c r="C118" s="42">
        <v>25</v>
      </c>
    </row>
    <row r="119" spans="1:3" ht="14.05" customHeight="1" x14ac:dyDescent="0.5">
      <c r="A119" s="39" t="str">
        <v>Nursery, turf and gardening</v>
      </c>
      <c r="B119" s="42">
        <v>15</v>
      </c>
      <c r="C119" s="42">
        <v>25</v>
      </c>
    </row>
    <row r="120" spans="1:3" ht="14.05" customHeight="1" x14ac:dyDescent="0.5">
      <c r="A120" s="39" t="str">
        <v>Poultry, pigs &amp; other livestock</v>
      </c>
      <c r="B120" s="42">
        <v>15</v>
      </c>
      <c r="C120" s="42">
        <v>25</v>
      </c>
    </row>
    <row r="121" spans="1:3" ht="14.05" customHeight="1" x14ac:dyDescent="0.5">
      <c r="A121" s="39" t="str">
        <v>Seafood - production</v>
      </c>
      <c r="B121" s="42">
        <v>15</v>
      </c>
      <c r="C121" s="42">
        <v>25</v>
      </c>
    </row>
    <row r="122" spans="1:3" ht="14.05" customHeight="1" x14ac:dyDescent="0.5">
      <c r="A122" s="39" t="str">
        <v>Seafood - processing</v>
      </c>
      <c r="B122" s="42">
        <v>15</v>
      </c>
      <c r="C122" s="42">
        <v>25</v>
      </c>
    </row>
    <row r="123" spans="1:3" ht="14.05" customHeight="1" x14ac:dyDescent="0.5">
      <c r="A123" s="39" t="str">
        <v>Sheep, beef and deer farming</v>
      </c>
      <c r="B123" s="42">
        <v>15</v>
      </c>
      <c r="C123" s="42">
        <v>25</v>
      </c>
    </row>
    <row r="124" spans="1:3" s="16" customFormat="1" ht="14.05" customHeight="1" x14ac:dyDescent="0.5">
      <c r="A124" s="39" t="str">
        <v>Support services</v>
      </c>
      <c r="B124" s="42">
        <v>15</v>
      </c>
      <c r="C124" s="42">
        <v>25</v>
      </c>
    </row>
    <row r="125" spans="1:3" s="16" customFormat="1" ht="14.05" customHeight="1" x14ac:dyDescent="0.5">
      <c r="A125" s="39" t="str">
        <v>Vegetables</v>
      </c>
      <c r="B125" s="42">
        <v>15</v>
      </c>
      <c r="C125" s="42">
        <v>25</v>
      </c>
    </row>
    <row r="126" spans="1:3" ht="14.05" customHeight="1" x14ac:dyDescent="0.5">
      <c r="A126" s="39" t="str">
        <v>Veterinary</v>
      </c>
      <c r="B126" s="42">
        <v>15</v>
      </c>
      <c r="C126" s="42">
        <v>25</v>
      </c>
    </row>
    <row r="128" spans="1:3" ht="14.05" customHeight="1" x14ac:dyDescent="0.5">
      <c r="A128" s="30" t="s">
        <v>56</v>
      </c>
    </row>
    <row r="129" spans="1:46" ht="14.05" customHeight="1" x14ac:dyDescent="0.5">
      <c r="A129" s="3" t="s">
        <v>58</v>
      </c>
      <c r="B129" s="267" t="s">
        <v>0</v>
      </c>
      <c r="C129" s="267"/>
    </row>
    <row r="130" spans="1:46" ht="14.05" customHeight="1" x14ac:dyDescent="0.5">
      <c r="A130" s="3" t="s">
        <v>57</v>
      </c>
      <c r="B130" s="267" t="s">
        <v>9</v>
      </c>
      <c r="C130" s="267"/>
    </row>
    <row r="131" spans="1:46" ht="14.05" customHeight="1" x14ac:dyDescent="0.5">
      <c r="A131" s="3" t="s">
        <v>60</v>
      </c>
      <c r="B131" s="3">
        <f>INDEX(B112:C126,MATCH(B129,industries,0),MATCH(B130,capability_areas,0))</f>
        <v>15</v>
      </c>
    </row>
    <row r="133" spans="1:46" ht="14.05" customHeight="1" x14ac:dyDescent="0.5">
      <c r="E133" s="3" t="s">
        <v>59</v>
      </c>
      <c r="F133" s="3">
        <v>0</v>
      </c>
      <c r="G133" s="3">
        <v>1</v>
      </c>
      <c r="H133" s="3">
        <v>2</v>
      </c>
      <c r="I133" s="3">
        <v>3</v>
      </c>
      <c r="J133" s="3">
        <v>4</v>
      </c>
      <c r="K133" s="3">
        <v>5</v>
      </c>
      <c r="L133" s="3">
        <v>6</v>
      </c>
      <c r="M133" s="3">
        <v>7</v>
      </c>
      <c r="N133" s="3">
        <v>8</v>
      </c>
      <c r="O133" s="3">
        <v>9</v>
      </c>
      <c r="P133" s="3">
        <v>10</v>
      </c>
      <c r="Q133" s="3">
        <v>11</v>
      </c>
      <c r="R133" s="3">
        <v>12</v>
      </c>
      <c r="S133" s="3">
        <v>13</v>
      </c>
      <c r="T133" s="3">
        <v>14</v>
      </c>
      <c r="U133" s="3">
        <v>15</v>
      </c>
      <c r="V133" s="3">
        <v>16</v>
      </c>
      <c r="W133" s="3">
        <v>17</v>
      </c>
      <c r="X133" s="3">
        <v>18</v>
      </c>
      <c r="Y133" s="3">
        <v>19</v>
      </c>
      <c r="Z133" s="3">
        <v>20</v>
      </c>
      <c r="AA133" s="3">
        <v>21</v>
      </c>
      <c r="AB133" s="3">
        <v>22</v>
      </c>
      <c r="AC133" s="3">
        <v>23</v>
      </c>
      <c r="AD133" s="3">
        <v>24</v>
      </c>
      <c r="AE133" s="3">
        <v>25</v>
      </c>
      <c r="AF133" s="3">
        <v>26</v>
      </c>
      <c r="AG133" s="3">
        <v>27</v>
      </c>
      <c r="AH133" s="3">
        <v>28</v>
      </c>
      <c r="AI133" s="3">
        <v>29</v>
      </c>
      <c r="AJ133" s="3">
        <v>30</v>
      </c>
      <c r="AK133" s="3">
        <v>31</v>
      </c>
      <c r="AL133" s="3">
        <v>32</v>
      </c>
      <c r="AM133" s="3">
        <v>33</v>
      </c>
      <c r="AN133" s="3">
        <v>34</v>
      </c>
      <c r="AO133" s="3">
        <v>35</v>
      </c>
      <c r="AP133" s="3">
        <v>36</v>
      </c>
      <c r="AQ133" s="3">
        <v>37</v>
      </c>
      <c r="AR133" s="3">
        <v>38</v>
      </c>
      <c r="AS133" s="3">
        <v>39</v>
      </c>
      <c r="AT133" s="3">
        <v>40</v>
      </c>
    </row>
    <row r="134" spans="1:46" ht="14.05" customHeight="1" x14ac:dyDescent="0.5">
      <c r="E134" s="3" t="s">
        <v>61</v>
      </c>
      <c r="F134" s="3">
        <f>IF(F133&gt;$B$131,1,(1-($B$131-F133)/($B$131)))</f>
        <v>0</v>
      </c>
      <c r="G134" s="3">
        <f t="shared" ref="G134:P134" si="11">IF(G133&gt;$B$131,1,(1-($B$131-G133)/($B$131)))</f>
        <v>6.6666666666666652E-2</v>
      </c>
      <c r="H134" s="3">
        <f t="shared" si="11"/>
        <v>0.1333333333333333</v>
      </c>
      <c r="I134" s="3">
        <f t="shared" si="11"/>
        <v>0.19999999999999996</v>
      </c>
      <c r="J134" s="3">
        <f t="shared" si="11"/>
        <v>0.26666666666666672</v>
      </c>
      <c r="K134" s="3">
        <f t="shared" si="11"/>
        <v>0.33333333333333337</v>
      </c>
      <c r="L134" s="3">
        <f t="shared" si="11"/>
        <v>0.4</v>
      </c>
      <c r="M134" s="3">
        <f t="shared" si="11"/>
        <v>0.46666666666666667</v>
      </c>
      <c r="N134" s="3">
        <f t="shared" si="11"/>
        <v>0.53333333333333333</v>
      </c>
      <c r="O134" s="3">
        <f t="shared" si="11"/>
        <v>0.6</v>
      </c>
      <c r="P134" s="3">
        <f t="shared" si="11"/>
        <v>0.66666666666666674</v>
      </c>
      <c r="Q134" s="3">
        <f t="shared" ref="Q134" si="12">IF(Q133&gt;$B$131,1,(1-($B$131-Q133)/($B$131)))</f>
        <v>0.73333333333333339</v>
      </c>
      <c r="R134" s="3">
        <f t="shared" ref="R134" si="13">IF(R133&gt;$B$131,1,(1-($B$131-R133)/($B$131)))</f>
        <v>0.8</v>
      </c>
      <c r="S134" s="3">
        <f t="shared" ref="S134" si="14">IF(S133&gt;$B$131,1,(1-($B$131-S133)/($B$131)))</f>
        <v>0.8666666666666667</v>
      </c>
      <c r="T134" s="3">
        <f t="shared" ref="T134" si="15">IF(T133&gt;$B$131,1,(1-($B$131-T133)/($B$131)))</f>
        <v>0.93333333333333335</v>
      </c>
      <c r="U134" s="3">
        <f t="shared" ref="U134" si="16">IF(U133&gt;$B$131,1,(1-($B$131-U133)/($B$131)))</f>
        <v>1</v>
      </c>
      <c r="V134" s="3">
        <f t="shared" ref="V134" si="17">IF(V133&gt;$B$131,1,(1-($B$131-V133)/($B$131)))</f>
        <v>1</v>
      </c>
      <c r="W134" s="3">
        <f t="shared" ref="W134" si="18">IF(W133&gt;$B$131,1,(1-($B$131-W133)/($B$131)))</f>
        <v>1</v>
      </c>
      <c r="X134" s="3">
        <f t="shared" ref="X134" si="19">IF(X133&gt;$B$131,1,(1-($B$131-X133)/($B$131)))</f>
        <v>1</v>
      </c>
      <c r="Y134" s="3">
        <f t="shared" ref="Y134:Z134" si="20">IF(Y133&gt;$B$131,1,(1-($B$131-Y133)/($B$131)))</f>
        <v>1</v>
      </c>
      <c r="Z134" s="3">
        <f t="shared" si="20"/>
        <v>1</v>
      </c>
      <c r="AA134" s="3">
        <f t="shared" ref="AA134" si="21">IF(AA133&gt;$B$131,1,(1-($B$131-AA133)/($B$131)))</f>
        <v>1</v>
      </c>
      <c r="AB134" s="3">
        <f t="shared" ref="AB134" si="22">IF(AB133&gt;$B$131,1,(1-($B$131-AB133)/($B$131)))</f>
        <v>1</v>
      </c>
      <c r="AC134" s="3">
        <f t="shared" ref="AC134" si="23">IF(AC133&gt;$B$131,1,(1-($B$131-AC133)/($B$131)))</f>
        <v>1</v>
      </c>
      <c r="AD134" s="3">
        <f t="shared" ref="AD134" si="24">IF(AD133&gt;$B$131,1,(1-($B$131-AD133)/($B$131)))</f>
        <v>1</v>
      </c>
      <c r="AE134" s="3">
        <f t="shared" ref="AE134" si="25">IF(AE133&gt;$B$131,1,(1-($B$131-AE133)/($B$131)))</f>
        <v>1</v>
      </c>
      <c r="AF134" s="3">
        <f>IF(AF133&gt;$B$131,1,(1-($B$131-AF133)/($B$131)))</f>
        <v>1</v>
      </c>
      <c r="AG134" s="3">
        <f t="shared" ref="AG134" si="26">IF(AG133&gt;$B$131,1,(1-($B$131-AG133)/($B$131)))</f>
        <v>1</v>
      </c>
      <c r="AH134" s="3">
        <f t="shared" ref="AH134" si="27">IF(AH133&gt;$B$131,1,(1-($B$131-AH133)/($B$131)))</f>
        <v>1</v>
      </c>
      <c r="AI134" s="3">
        <f t="shared" ref="AI134" si="28">IF(AI133&gt;$B$131,1,(1-($B$131-AI133)/($B$131)))</f>
        <v>1</v>
      </c>
      <c r="AJ134" s="3">
        <f t="shared" ref="AJ134" si="29">IF(AJ133&gt;$B$131,1,(1-($B$131-AJ133)/($B$131)))</f>
        <v>1</v>
      </c>
      <c r="AK134" s="3">
        <f t="shared" ref="AK134" si="30">IF(AK133&gt;$B$131,1,(1-($B$131-AK133)/($B$131)))</f>
        <v>1</v>
      </c>
      <c r="AL134" s="3">
        <f t="shared" ref="AL134" si="31">IF(AL133&gt;$B$131,1,(1-($B$131-AL133)/($B$131)))</f>
        <v>1</v>
      </c>
      <c r="AM134" s="3">
        <f t="shared" ref="AM134" si="32">IF(AM133&gt;$B$131,1,(1-($B$131-AM133)/($B$131)))</f>
        <v>1</v>
      </c>
      <c r="AN134" s="3">
        <f t="shared" ref="AN134" si="33">IF(AN133&gt;$B$131,1,(1-($B$131-AN133)/($B$131)))</f>
        <v>1</v>
      </c>
      <c r="AO134" s="3">
        <f t="shared" ref="AO134" si="34">IF(AO133&gt;$B$131,1,(1-($B$131-AO133)/($B$131)))</f>
        <v>1</v>
      </c>
      <c r="AP134" s="3">
        <f t="shared" ref="AP134" si="35">IF(AP133&gt;$B$131,1,(1-($B$131-AP133)/($B$131)))</f>
        <v>1</v>
      </c>
      <c r="AQ134" s="3">
        <f t="shared" ref="AQ134" si="36">IF(AQ133&gt;$B$131,1,(1-($B$131-AQ133)/($B$131)))</f>
        <v>1</v>
      </c>
      <c r="AR134" s="3">
        <f t="shared" ref="AR134" si="37">IF(AR133&gt;$B$131,1,(1-($B$131-AR133)/($B$131)))</f>
        <v>1</v>
      </c>
      <c r="AS134" s="3">
        <f t="shared" ref="AS134" si="38">IF(AS133&gt;$B$131,1,(1-($B$131-AS133)/($B$131)))</f>
        <v>1</v>
      </c>
      <c r="AT134" s="3">
        <f t="shared" ref="AT134" si="39">IF(AT133&gt;$B$131,1,(1-($B$131-AT133)/($B$131)))</f>
        <v>1</v>
      </c>
    </row>
    <row r="158" spans="1:2" ht="14.05" customHeight="1" x14ac:dyDescent="0.5">
      <c r="A158" s="11" t="s">
        <v>54</v>
      </c>
    </row>
    <row r="159" spans="1:2" ht="14.05" customHeight="1" x14ac:dyDescent="0.5">
      <c r="A159" s="3" t="s">
        <v>55</v>
      </c>
      <c r="B159" s="43">
        <v>0.25</v>
      </c>
    </row>
    <row r="162" spans="5:46" ht="14.05" customHeight="1" x14ac:dyDescent="0.5">
      <c r="E162" s="3" t="s">
        <v>59</v>
      </c>
      <c r="F162" s="3">
        <v>0</v>
      </c>
      <c r="G162" s="3">
        <v>1</v>
      </c>
      <c r="H162" s="3">
        <v>2</v>
      </c>
      <c r="I162" s="3">
        <v>3</v>
      </c>
      <c r="J162" s="3">
        <v>4</v>
      </c>
      <c r="K162" s="3">
        <v>5</v>
      </c>
      <c r="L162" s="3">
        <v>6</v>
      </c>
      <c r="M162" s="3">
        <v>7</v>
      </c>
      <c r="N162" s="3">
        <v>8</v>
      </c>
      <c r="O162" s="3">
        <v>9</v>
      </c>
      <c r="P162" s="3">
        <v>10</v>
      </c>
      <c r="Q162" s="3">
        <v>11</v>
      </c>
      <c r="R162" s="3">
        <v>12</v>
      </c>
      <c r="S162" s="3">
        <v>13</v>
      </c>
      <c r="T162" s="3">
        <v>14</v>
      </c>
      <c r="U162" s="3">
        <v>15</v>
      </c>
      <c r="V162" s="3">
        <v>16</v>
      </c>
      <c r="W162" s="3">
        <v>17</v>
      </c>
      <c r="X162" s="3">
        <v>18</v>
      </c>
      <c r="Y162" s="3">
        <v>19</v>
      </c>
      <c r="Z162" s="3">
        <v>20</v>
      </c>
      <c r="AA162" s="3">
        <v>21</v>
      </c>
      <c r="AB162" s="3">
        <v>22</v>
      </c>
      <c r="AC162" s="3">
        <v>23</v>
      </c>
      <c r="AD162" s="3">
        <v>24</v>
      </c>
      <c r="AE162" s="3">
        <v>25</v>
      </c>
      <c r="AF162" s="3">
        <v>26</v>
      </c>
      <c r="AG162" s="3">
        <v>27</v>
      </c>
      <c r="AH162" s="3">
        <v>28</v>
      </c>
      <c r="AI162" s="3">
        <v>29</v>
      </c>
      <c r="AJ162" s="3">
        <v>30</v>
      </c>
      <c r="AK162" s="3">
        <v>31</v>
      </c>
      <c r="AL162" s="3">
        <v>32</v>
      </c>
      <c r="AM162" s="3">
        <v>33</v>
      </c>
      <c r="AN162" s="3">
        <v>34</v>
      </c>
      <c r="AO162" s="3">
        <v>35</v>
      </c>
      <c r="AP162" s="3">
        <v>36</v>
      </c>
      <c r="AQ162" s="3">
        <v>37</v>
      </c>
      <c r="AR162" s="3">
        <v>38</v>
      </c>
      <c r="AS162" s="3">
        <v>39</v>
      </c>
      <c r="AT162" s="3">
        <v>40</v>
      </c>
    </row>
    <row r="163" spans="5:46" ht="14.05" customHeight="1" x14ac:dyDescent="0.5">
      <c r="E163" s="44" t="s">
        <v>63</v>
      </c>
      <c r="F163" s="3">
        <f t="shared" ref="F163:AT163" si="40">F$166+3*sd_of_innate_ability</f>
        <v>0.75</v>
      </c>
      <c r="G163" s="3">
        <f t="shared" si="40"/>
        <v>0.81666666666666665</v>
      </c>
      <c r="H163" s="3">
        <f t="shared" si="40"/>
        <v>0.8833333333333333</v>
      </c>
      <c r="I163" s="3">
        <f t="shared" si="40"/>
        <v>0.95</v>
      </c>
      <c r="J163" s="3">
        <f t="shared" si="40"/>
        <v>1.0166666666666666</v>
      </c>
      <c r="K163" s="3">
        <f t="shared" si="40"/>
        <v>1.0833333333333335</v>
      </c>
      <c r="L163" s="3">
        <f t="shared" si="40"/>
        <v>1.1499999999999999</v>
      </c>
      <c r="M163" s="3">
        <f t="shared" si="40"/>
        <v>1.2166666666666668</v>
      </c>
      <c r="N163" s="3">
        <f t="shared" si="40"/>
        <v>1.2833333333333332</v>
      </c>
      <c r="O163" s="3">
        <f t="shared" si="40"/>
        <v>1.35</v>
      </c>
      <c r="P163" s="3">
        <f t="shared" si="40"/>
        <v>1.4166666666666667</v>
      </c>
      <c r="Q163" s="3">
        <f t="shared" si="40"/>
        <v>1.4833333333333334</v>
      </c>
      <c r="R163" s="3">
        <f t="shared" si="40"/>
        <v>1.55</v>
      </c>
      <c r="S163" s="3">
        <f t="shared" si="40"/>
        <v>1.6166666666666667</v>
      </c>
      <c r="T163" s="3">
        <f t="shared" si="40"/>
        <v>1.6833333333333333</v>
      </c>
      <c r="U163" s="3">
        <f t="shared" si="40"/>
        <v>1.75</v>
      </c>
      <c r="V163" s="3">
        <f t="shared" si="40"/>
        <v>1.75</v>
      </c>
      <c r="W163" s="3">
        <f t="shared" si="40"/>
        <v>1.75</v>
      </c>
      <c r="X163" s="3">
        <f t="shared" si="40"/>
        <v>1.75</v>
      </c>
      <c r="Y163" s="3">
        <f t="shared" si="40"/>
        <v>1.75</v>
      </c>
      <c r="Z163" s="3">
        <f t="shared" si="40"/>
        <v>1.75</v>
      </c>
      <c r="AA163" s="3">
        <f t="shared" si="40"/>
        <v>1.75</v>
      </c>
      <c r="AB163" s="3">
        <f t="shared" si="40"/>
        <v>1.75</v>
      </c>
      <c r="AC163" s="3">
        <f t="shared" si="40"/>
        <v>1.75</v>
      </c>
      <c r="AD163" s="3">
        <f t="shared" si="40"/>
        <v>1.75</v>
      </c>
      <c r="AE163" s="3">
        <f t="shared" si="40"/>
        <v>1.75</v>
      </c>
      <c r="AF163" s="3">
        <f t="shared" si="40"/>
        <v>1.75</v>
      </c>
      <c r="AG163" s="3">
        <f t="shared" si="40"/>
        <v>1.75</v>
      </c>
      <c r="AH163" s="3">
        <f t="shared" si="40"/>
        <v>1.75</v>
      </c>
      <c r="AI163" s="3">
        <f t="shared" si="40"/>
        <v>1.75</v>
      </c>
      <c r="AJ163" s="3">
        <f t="shared" si="40"/>
        <v>1.75</v>
      </c>
      <c r="AK163" s="3">
        <f t="shared" si="40"/>
        <v>1.75</v>
      </c>
      <c r="AL163" s="3">
        <f t="shared" si="40"/>
        <v>1.75</v>
      </c>
      <c r="AM163" s="3">
        <f t="shared" si="40"/>
        <v>1.75</v>
      </c>
      <c r="AN163" s="3">
        <f t="shared" si="40"/>
        <v>1.75</v>
      </c>
      <c r="AO163" s="3">
        <f t="shared" si="40"/>
        <v>1.75</v>
      </c>
      <c r="AP163" s="3">
        <f t="shared" si="40"/>
        <v>1.75</v>
      </c>
      <c r="AQ163" s="3">
        <f t="shared" si="40"/>
        <v>1.75</v>
      </c>
      <c r="AR163" s="3">
        <f t="shared" si="40"/>
        <v>1.75</v>
      </c>
      <c r="AS163" s="3">
        <f t="shared" si="40"/>
        <v>1.75</v>
      </c>
      <c r="AT163" s="3">
        <f t="shared" si="40"/>
        <v>1.75</v>
      </c>
    </row>
    <row r="164" spans="5:46" ht="14.05" customHeight="1" x14ac:dyDescent="0.5">
      <c r="E164" s="44" t="s">
        <v>64</v>
      </c>
      <c r="F164" s="3">
        <f t="shared" ref="F164:AT164" si="41">F$166+2*sd_of_innate_ability</f>
        <v>0.5</v>
      </c>
      <c r="G164" s="3">
        <f t="shared" si="41"/>
        <v>0.56666666666666665</v>
      </c>
      <c r="H164" s="3">
        <f t="shared" si="41"/>
        <v>0.6333333333333333</v>
      </c>
      <c r="I164" s="3">
        <f t="shared" si="41"/>
        <v>0.7</v>
      </c>
      <c r="J164" s="3">
        <f t="shared" si="41"/>
        <v>0.76666666666666672</v>
      </c>
      <c r="K164" s="3">
        <f t="shared" si="41"/>
        <v>0.83333333333333337</v>
      </c>
      <c r="L164" s="3">
        <f t="shared" si="41"/>
        <v>0.9</v>
      </c>
      <c r="M164" s="3">
        <f t="shared" si="41"/>
        <v>0.96666666666666667</v>
      </c>
      <c r="N164" s="3">
        <f t="shared" si="41"/>
        <v>1.0333333333333332</v>
      </c>
      <c r="O164" s="3">
        <f t="shared" si="41"/>
        <v>1.1000000000000001</v>
      </c>
      <c r="P164" s="3">
        <f t="shared" si="41"/>
        <v>1.1666666666666667</v>
      </c>
      <c r="Q164" s="3">
        <f t="shared" si="41"/>
        <v>1.2333333333333334</v>
      </c>
      <c r="R164" s="3">
        <f t="shared" si="41"/>
        <v>1.3</v>
      </c>
      <c r="S164" s="3">
        <f t="shared" si="41"/>
        <v>1.3666666666666667</v>
      </c>
      <c r="T164" s="3">
        <f t="shared" si="41"/>
        <v>1.4333333333333333</v>
      </c>
      <c r="U164" s="3">
        <f t="shared" si="41"/>
        <v>1.5</v>
      </c>
      <c r="V164" s="3">
        <f t="shared" si="41"/>
        <v>1.5</v>
      </c>
      <c r="W164" s="3">
        <f t="shared" si="41"/>
        <v>1.5</v>
      </c>
      <c r="X164" s="3">
        <f t="shared" si="41"/>
        <v>1.5</v>
      </c>
      <c r="Y164" s="3">
        <f t="shared" si="41"/>
        <v>1.5</v>
      </c>
      <c r="Z164" s="3">
        <f t="shared" si="41"/>
        <v>1.5</v>
      </c>
      <c r="AA164" s="3">
        <f t="shared" si="41"/>
        <v>1.5</v>
      </c>
      <c r="AB164" s="3">
        <f t="shared" si="41"/>
        <v>1.5</v>
      </c>
      <c r="AC164" s="3">
        <f t="shared" si="41"/>
        <v>1.5</v>
      </c>
      <c r="AD164" s="3">
        <f t="shared" si="41"/>
        <v>1.5</v>
      </c>
      <c r="AE164" s="3">
        <f t="shared" si="41"/>
        <v>1.5</v>
      </c>
      <c r="AF164" s="3">
        <f t="shared" si="41"/>
        <v>1.5</v>
      </c>
      <c r="AG164" s="3">
        <f t="shared" si="41"/>
        <v>1.5</v>
      </c>
      <c r="AH164" s="3">
        <f t="shared" si="41"/>
        <v>1.5</v>
      </c>
      <c r="AI164" s="3">
        <f t="shared" si="41"/>
        <v>1.5</v>
      </c>
      <c r="AJ164" s="3">
        <f t="shared" si="41"/>
        <v>1.5</v>
      </c>
      <c r="AK164" s="3">
        <f t="shared" si="41"/>
        <v>1.5</v>
      </c>
      <c r="AL164" s="3">
        <f t="shared" si="41"/>
        <v>1.5</v>
      </c>
      <c r="AM164" s="3">
        <f t="shared" si="41"/>
        <v>1.5</v>
      </c>
      <c r="AN164" s="3">
        <f t="shared" si="41"/>
        <v>1.5</v>
      </c>
      <c r="AO164" s="3">
        <f t="shared" si="41"/>
        <v>1.5</v>
      </c>
      <c r="AP164" s="3">
        <f t="shared" si="41"/>
        <v>1.5</v>
      </c>
      <c r="AQ164" s="3">
        <f t="shared" si="41"/>
        <v>1.5</v>
      </c>
      <c r="AR164" s="3">
        <f t="shared" si="41"/>
        <v>1.5</v>
      </c>
      <c r="AS164" s="3">
        <f t="shared" si="41"/>
        <v>1.5</v>
      </c>
      <c r="AT164" s="3">
        <f t="shared" si="41"/>
        <v>1.5</v>
      </c>
    </row>
    <row r="165" spans="5:46" ht="14.05" customHeight="1" x14ac:dyDescent="0.5">
      <c r="E165" s="44" t="s">
        <v>65</v>
      </c>
      <c r="F165" s="3">
        <f t="shared" ref="F165:AT165" si="42">F$166+1*sd_of_innate_ability</f>
        <v>0.25</v>
      </c>
      <c r="G165" s="3">
        <f t="shared" si="42"/>
        <v>0.31666666666666665</v>
      </c>
      <c r="H165" s="3">
        <f t="shared" si="42"/>
        <v>0.3833333333333333</v>
      </c>
      <c r="I165" s="3">
        <f t="shared" si="42"/>
        <v>0.44999999999999996</v>
      </c>
      <c r="J165" s="3">
        <f t="shared" si="42"/>
        <v>0.51666666666666672</v>
      </c>
      <c r="K165" s="3">
        <f t="shared" si="42"/>
        <v>0.58333333333333337</v>
      </c>
      <c r="L165" s="3">
        <f t="shared" si="42"/>
        <v>0.65</v>
      </c>
      <c r="M165" s="3">
        <f t="shared" si="42"/>
        <v>0.71666666666666667</v>
      </c>
      <c r="N165" s="3">
        <f t="shared" si="42"/>
        <v>0.78333333333333333</v>
      </c>
      <c r="O165" s="3">
        <f t="shared" si="42"/>
        <v>0.85</v>
      </c>
      <c r="P165" s="3">
        <f t="shared" si="42"/>
        <v>0.91666666666666674</v>
      </c>
      <c r="Q165" s="3">
        <f t="shared" si="42"/>
        <v>0.98333333333333339</v>
      </c>
      <c r="R165" s="3">
        <f t="shared" si="42"/>
        <v>1.05</v>
      </c>
      <c r="S165" s="3">
        <f t="shared" si="42"/>
        <v>1.1166666666666667</v>
      </c>
      <c r="T165" s="3">
        <f t="shared" si="42"/>
        <v>1.1833333333333333</v>
      </c>
      <c r="U165" s="3">
        <f t="shared" si="42"/>
        <v>1.25</v>
      </c>
      <c r="V165" s="3">
        <f t="shared" si="42"/>
        <v>1.25</v>
      </c>
      <c r="W165" s="3">
        <f t="shared" si="42"/>
        <v>1.25</v>
      </c>
      <c r="X165" s="3">
        <f t="shared" si="42"/>
        <v>1.25</v>
      </c>
      <c r="Y165" s="3">
        <f t="shared" si="42"/>
        <v>1.25</v>
      </c>
      <c r="Z165" s="3">
        <f t="shared" si="42"/>
        <v>1.25</v>
      </c>
      <c r="AA165" s="3">
        <f t="shared" si="42"/>
        <v>1.25</v>
      </c>
      <c r="AB165" s="3">
        <f t="shared" si="42"/>
        <v>1.25</v>
      </c>
      <c r="AC165" s="3">
        <f t="shared" si="42"/>
        <v>1.25</v>
      </c>
      <c r="AD165" s="3">
        <f t="shared" si="42"/>
        <v>1.25</v>
      </c>
      <c r="AE165" s="3">
        <f t="shared" si="42"/>
        <v>1.25</v>
      </c>
      <c r="AF165" s="3">
        <f t="shared" si="42"/>
        <v>1.25</v>
      </c>
      <c r="AG165" s="3">
        <f t="shared" si="42"/>
        <v>1.25</v>
      </c>
      <c r="AH165" s="3">
        <f t="shared" si="42"/>
        <v>1.25</v>
      </c>
      <c r="AI165" s="3">
        <f t="shared" si="42"/>
        <v>1.25</v>
      </c>
      <c r="AJ165" s="3">
        <f t="shared" si="42"/>
        <v>1.25</v>
      </c>
      <c r="AK165" s="3">
        <f t="shared" si="42"/>
        <v>1.25</v>
      </c>
      <c r="AL165" s="3">
        <f t="shared" si="42"/>
        <v>1.25</v>
      </c>
      <c r="AM165" s="3">
        <f t="shared" si="42"/>
        <v>1.25</v>
      </c>
      <c r="AN165" s="3">
        <f t="shared" si="42"/>
        <v>1.25</v>
      </c>
      <c r="AO165" s="3">
        <f t="shared" si="42"/>
        <v>1.25</v>
      </c>
      <c r="AP165" s="3">
        <f t="shared" si="42"/>
        <v>1.25</v>
      </c>
      <c r="AQ165" s="3">
        <f t="shared" si="42"/>
        <v>1.25</v>
      </c>
      <c r="AR165" s="3">
        <f t="shared" si="42"/>
        <v>1.25</v>
      </c>
      <c r="AS165" s="3">
        <f t="shared" si="42"/>
        <v>1.25</v>
      </c>
      <c r="AT165" s="3">
        <f t="shared" si="42"/>
        <v>1.25</v>
      </c>
    </row>
    <row r="166" spans="5:46" ht="14.05" customHeight="1" x14ac:dyDescent="0.5">
      <c r="E166" s="3" t="s">
        <v>62</v>
      </c>
      <c r="F166" s="3">
        <f>IF(F162&gt;$B$131,1,(1-($B$131-F162)/($B$131)))</f>
        <v>0</v>
      </c>
      <c r="G166" s="3">
        <f t="shared" ref="G166:AT166" si="43">IF(G162&gt;$B$131,1,(1-($B$131-G162)/($B$131)))</f>
        <v>6.6666666666666652E-2</v>
      </c>
      <c r="H166" s="3">
        <f t="shared" si="43"/>
        <v>0.1333333333333333</v>
      </c>
      <c r="I166" s="3">
        <f t="shared" si="43"/>
        <v>0.19999999999999996</v>
      </c>
      <c r="J166" s="3">
        <f t="shared" si="43"/>
        <v>0.26666666666666672</v>
      </c>
      <c r="K166" s="3">
        <f t="shared" si="43"/>
        <v>0.33333333333333337</v>
      </c>
      <c r="L166" s="3">
        <f t="shared" si="43"/>
        <v>0.4</v>
      </c>
      <c r="M166" s="3">
        <f t="shared" si="43"/>
        <v>0.46666666666666667</v>
      </c>
      <c r="N166" s="3">
        <f t="shared" si="43"/>
        <v>0.53333333333333333</v>
      </c>
      <c r="O166" s="3">
        <f t="shared" si="43"/>
        <v>0.6</v>
      </c>
      <c r="P166" s="3">
        <f t="shared" si="43"/>
        <v>0.66666666666666674</v>
      </c>
      <c r="Q166" s="3">
        <f t="shared" si="43"/>
        <v>0.73333333333333339</v>
      </c>
      <c r="R166" s="3">
        <f t="shared" si="43"/>
        <v>0.8</v>
      </c>
      <c r="S166" s="3">
        <f t="shared" si="43"/>
        <v>0.8666666666666667</v>
      </c>
      <c r="T166" s="3">
        <f t="shared" si="43"/>
        <v>0.93333333333333335</v>
      </c>
      <c r="U166" s="3">
        <f t="shared" si="43"/>
        <v>1</v>
      </c>
      <c r="V166" s="3">
        <f t="shared" si="43"/>
        <v>1</v>
      </c>
      <c r="W166" s="3">
        <f t="shared" si="43"/>
        <v>1</v>
      </c>
      <c r="X166" s="3">
        <f t="shared" si="43"/>
        <v>1</v>
      </c>
      <c r="Y166" s="3">
        <f t="shared" si="43"/>
        <v>1</v>
      </c>
      <c r="Z166" s="3">
        <f t="shared" si="43"/>
        <v>1</v>
      </c>
      <c r="AA166" s="3">
        <f t="shared" si="43"/>
        <v>1</v>
      </c>
      <c r="AB166" s="3">
        <f t="shared" si="43"/>
        <v>1</v>
      </c>
      <c r="AC166" s="3">
        <f t="shared" si="43"/>
        <v>1</v>
      </c>
      <c r="AD166" s="3">
        <f t="shared" si="43"/>
        <v>1</v>
      </c>
      <c r="AE166" s="3">
        <f t="shared" si="43"/>
        <v>1</v>
      </c>
      <c r="AF166" s="3">
        <f t="shared" si="43"/>
        <v>1</v>
      </c>
      <c r="AG166" s="3">
        <f t="shared" si="43"/>
        <v>1</v>
      </c>
      <c r="AH166" s="3">
        <f t="shared" si="43"/>
        <v>1</v>
      </c>
      <c r="AI166" s="3">
        <f t="shared" si="43"/>
        <v>1</v>
      </c>
      <c r="AJ166" s="3">
        <f t="shared" si="43"/>
        <v>1</v>
      </c>
      <c r="AK166" s="3">
        <f t="shared" si="43"/>
        <v>1</v>
      </c>
      <c r="AL166" s="3">
        <f t="shared" si="43"/>
        <v>1</v>
      </c>
      <c r="AM166" s="3">
        <f t="shared" si="43"/>
        <v>1</v>
      </c>
      <c r="AN166" s="3">
        <f t="shared" si="43"/>
        <v>1</v>
      </c>
      <c r="AO166" s="3">
        <f t="shared" si="43"/>
        <v>1</v>
      </c>
      <c r="AP166" s="3">
        <f t="shared" si="43"/>
        <v>1</v>
      </c>
      <c r="AQ166" s="3">
        <f t="shared" si="43"/>
        <v>1</v>
      </c>
      <c r="AR166" s="3">
        <f t="shared" si="43"/>
        <v>1</v>
      </c>
      <c r="AS166" s="3">
        <f t="shared" si="43"/>
        <v>1</v>
      </c>
      <c r="AT166" s="3">
        <f t="shared" si="43"/>
        <v>1</v>
      </c>
    </row>
    <row r="167" spans="5:46" ht="14.05" customHeight="1" x14ac:dyDescent="0.5">
      <c r="E167" s="44" t="s">
        <v>66</v>
      </c>
      <c r="F167" s="3">
        <f t="shared" ref="F167:AT167" si="44">F$166-1*sd_of_innate_ability</f>
        <v>-0.25</v>
      </c>
      <c r="G167" s="3">
        <f t="shared" si="44"/>
        <v>-0.18333333333333335</v>
      </c>
      <c r="H167" s="3">
        <f t="shared" si="44"/>
        <v>-0.1166666666666667</v>
      </c>
      <c r="I167" s="3">
        <f t="shared" si="44"/>
        <v>-5.0000000000000044E-2</v>
      </c>
      <c r="J167" s="3">
        <f t="shared" si="44"/>
        <v>1.6666666666666718E-2</v>
      </c>
      <c r="K167" s="3">
        <f t="shared" si="44"/>
        <v>8.333333333333337E-2</v>
      </c>
      <c r="L167" s="3">
        <f t="shared" si="44"/>
        <v>0.15000000000000002</v>
      </c>
      <c r="M167" s="3">
        <f t="shared" si="44"/>
        <v>0.21666666666666667</v>
      </c>
      <c r="N167" s="3">
        <f t="shared" si="44"/>
        <v>0.28333333333333333</v>
      </c>
      <c r="O167" s="3">
        <f t="shared" si="44"/>
        <v>0.35</v>
      </c>
      <c r="P167" s="3">
        <f t="shared" si="44"/>
        <v>0.41666666666666674</v>
      </c>
      <c r="Q167" s="3">
        <f t="shared" si="44"/>
        <v>0.48333333333333339</v>
      </c>
      <c r="R167" s="3">
        <f t="shared" si="44"/>
        <v>0.55000000000000004</v>
      </c>
      <c r="S167" s="3">
        <f t="shared" si="44"/>
        <v>0.6166666666666667</v>
      </c>
      <c r="T167" s="3">
        <f t="shared" si="44"/>
        <v>0.68333333333333335</v>
      </c>
      <c r="U167" s="3">
        <f t="shared" si="44"/>
        <v>0.75</v>
      </c>
      <c r="V167" s="3">
        <f t="shared" si="44"/>
        <v>0.75</v>
      </c>
      <c r="W167" s="3">
        <f t="shared" si="44"/>
        <v>0.75</v>
      </c>
      <c r="X167" s="3">
        <f t="shared" si="44"/>
        <v>0.75</v>
      </c>
      <c r="Y167" s="3">
        <f t="shared" si="44"/>
        <v>0.75</v>
      </c>
      <c r="Z167" s="3">
        <f t="shared" si="44"/>
        <v>0.75</v>
      </c>
      <c r="AA167" s="3">
        <f t="shared" si="44"/>
        <v>0.75</v>
      </c>
      <c r="AB167" s="3">
        <f t="shared" si="44"/>
        <v>0.75</v>
      </c>
      <c r="AC167" s="3">
        <f t="shared" si="44"/>
        <v>0.75</v>
      </c>
      <c r="AD167" s="3">
        <f t="shared" si="44"/>
        <v>0.75</v>
      </c>
      <c r="AE167" s="3">
        <f t="shared" si="44"/>
        <v>0.75</v>
      </c>
      <c r="AF167" s="3">
        <f t="shared" si="44"/>
        <v>0.75</v>
      </c>
      <c r="AG167" s="3">
        <f t="shared" si="44"/>
        <v>0.75</v>
      </c>
      <c r="AH167" s="3">
        <f t="shared" si="44"/>
        <v>0.75</v>
      </c>
      <c r="AI167" s="3">
        <f t="shared" si="44"/>
        <v>0.75</v>
      </c>
      <c r="AJ167" s="3">
        <f t="shared" si="44"/>
        <v>0.75</v>
      </c>
      <c r="AK167" s="3">
        <f t="shared" si="44"/>
        <v>0.75</v>
      </c>
      <c r="AL167" s="3">
        <f t="shared" si="44"/>
        <v>0.75</v>
      </c>
      <c r="AM167" s="3">
        <f t="shared" si="44"/>
        <v>0.75</v>
      </c>
      <c r="AN167" s="3">
        <f t="shared" si="44"/>
        <v>0.75</v>
      </c>
      <c r="AO167" s="3">
        <f t="shared" si="44"/>
        <v>0.75</v>
      </c>
      <c r="AP167" s="3">
        <f t="shared" si="44"/>
        <v>0.75</v>
      </c>
      <c r="AQ167" s="3">
        <f t="shared" si="44"/>
        <v>0.75</v>
      </c>
      <c r="AR167" s="3">
        <f t="shared" si="44"/>
        <v>0.75</v>
      </c>
      <c r="AS167" s="3">
        <f t="shared" si="44"/>
        <v>0.75</v>
      </c>
      <c r="AT167" s="3">
        <f t="shared" si="44"/>
        <v>0.75</v>
      </c>
    </row>
    <row r="168" spans="5:46" ht="14.05" customHeight="1" x14ac:dyDescent="0.5">
      <c r="E168" s="44" t="s">
        <v>67</v>
      </c>
      <c r="F168" s="3">
        <f t="shared" ref="F168:AT168" si="45">F$166-2*sd_of_innate_ability</f>
        <v>-0.5</v>
      </c>
      <c r="G168" s="3">
        <f t="shared" si="45"/>
        <v>-0.43333333333333335</v>
      </c>
      <c r="H168" s="3">
        <f t="shared" si="45"/>
        <v>-0.3666666666666667</v>
      </c>
      <c r="I168" s="3">
        <f t="shared" si="45"/>
        <v>-0.30000000000000004</v>
      </c>
      <c r="J168" s="3">
        <f t="shared" si="45"/>
        <v>-0.23333333333333328</v>
      </c>
      <c r="K168" s="3">
        <f t="shared" si="45"/>
        <v>-0.16666666666666663</v>
      </c>
      <c r="L168" s="3">
        <f t="shared" si="45"/>
        <v>-9.9999999999999978E-2</v>
      </c>
      <c r="M168" s="3">
        <f t="shared" si="45"/>
        <v>-3.3333333333333326E-2</v>
      </c>
      <c r="N168" s="3">
        <f t="shared" si="45"/>
        <v>3.3333333333333326E-2</v>
      </c>
      <c r="O168" s="3">
        <f t="shared" si="45"/>
        <v>9.9999999999999978E-2</v>
      </c>
      <c r="P168" s="3">
        <f t="shared" si="45"/>
        <v>0.16666666666666674</v>
      </c>
      <c r="Q168" s="3">
        <f t="shared" si="45"/>
        <v>0.23333333333333339</v>
      </c>
      <c r="R168" s="3">
        <f t="shared" si="45"/>
        <v>0.30000000000000004</v>
      </c>
      <c r="S168" s="3">
        <f t="shared" si="45"/>
        <v>0.3666666666666667</v>
      </c>
      <c r="T168" s="3">
        <f t="shared" si="45"/>
        <v>0.43333333333333335</v>
      </c>
      <c r="U168" s="3">
        <f t="shared" si="45"/>
        <v>0.5</v>
      </c>
      <c r="V168" s="3">
        <f t="shared" si="45"/>
        <v>0.5</v>
      </c>
      <c r="W168" s="3">
        <f t="shared" si="45"/>
        <v>0.5</v>
      </c>
      <c r="X168" s="3">
        <f t="shared" si="45"/>
        <v>0.5</v>
      </c>
      <c r="Y168" s="3">
        <f t="shared" si="45"/>
        <v>0.5</v>
      </c>
      <c r="Z168" s="3">
        <f t="shared" si="45"/>
        <v>0.5</v>
      </c>
      <c r="AA168" s="3">
        <f t="shared" si="45"/>
        <v>0.5</v>
      </c>
      <c r="AB168" s="3">
        <f t="shared" si="45"/>
        <v>0.5</v>
      </c>
      <c r="AC168" s="3">
        <f t="shared" si="45"/>
        <v>0.5</v>
      </c>
      <c r="AD168" s="3">
        <f t="shared" si="45"/>
        <v>0.5</v>
      </c>
      <c r="AE168" s="3">
        <f t="shared" si="45"/>
        <v>0.5</v>
      </c>
      <c r="AF168" s="3">
        <f t="shared" si="45"/>
        <v>0.5</v>
      </c>
      <c r="AG168" s="3">
        <f t="shared" si="45"/>
        <v>0.5</v>
      </c>
      <c r="AH168" s="3">
        <f t="shared" si="45"/>
        <v>0.5</v>
      </c>
      <c r="AI168" s="3">
        <f t="shared" si="45"/>
        <v>0.5</v>
      </c>
      <c r="AJ168" s="3">
        <f t="shared" si="45"/>
        <v>0.5</v>
      </c>
      <c r="AK168" s="3">
        <f t="shared" si="45"/>
        <v>0.5</v>
      </c>
      <c r="AL168" s="3">
        <f t="shared" si="45"/>
        <v>0.5</v>
      </c>
      <c r="AM168" s="3">
        <f t="shared" si="45"/>
        <v>0.5</v>
      </c>
      <c r="AN168" s="3">
        <f t="shared" si="45"/>
        <v>0.5</v>
      </c>
      <c r="AO168" s="3">
        <f t="shared" si="45"/>
        <v>0.5</v>
      </c>
      <c r="AP168" s="3">
        <f t="shared" si="45"/>
        <v>0.5</v>
      </c>
      <c r="AQ168" s="3">
        <f t="shared" si="45"/>
        <v>0.5</v>
      </c>
      <c r="AR168" s="3">
        <f t="shared" si="45"/>
        <v>0.5</v>
      </c>
      <c r="AS168" s="3">
        <f t="shared" si="45"/>
        <v>0.5</v>
      </c>
      <c r="AT168" s="3">
        <f t="shared" si="45"/>
        <v>0.5</v>
      </c>
    </row>
    <row r="169" spans="5:46" ht="14.05" customHeight="1" x14ac:dyDescent="0.5">
      <c r="E169" s="44" t="s">
        <v>68</v>
      </c>
      <c r="F169" s="3">
        <f t="shared" ref="F169:AT169" si="46">F$166-3*sd_of_innate_ability</f>
        <v>-0.75</v>
      </c>
      <c r="G169" s="3">
        <f t="shared" si="46"/>
        <v>-0.68333333333333335</v>
      </c>
      <c r="H169" s="3">
        <f t="shared" si="46"/>
        <v>-0.6166666666666667</v>
      </c>
      <c r="I169" s="3">
        <f t="shared" si="46"/>
        <v>-0.55000000000000004</v>
      </c>
      <c r="J169" s="3">
        <f t="shared" si="46"/>
        <v>-0.48333333333333328</v>
      </c>
      <c r="K169" s="3">
        <f t="shared" si="46"/>
        <v>-0.41666666666666663</v>
      </c>
      <c r="L169" s="3">
        <f t="shared" si="46"/>
        <v>-0.35</v>
      </c>
      <c r="M169" s="3">
        <f t="shared" si="46"/>
        <v>-0.28333333333333333</v>
      </c>
      <c r="N169" s="3">
        <f t="shared" si="46"/>
        <v>-0.21666666666666667</v>
      </c>
      <c r="O169" s="3">
        <f t="shared" si="46"/>
        <v>-0.15000000000000002</v>
      </c>
      <c r="P169" s="3">
        <f t="shared" si="46"/>
        <v>-8.3333333333333259E-2</v>
      </c>
      <c r="Q169" s="3">
        <f t="shared" si="46"/>
        <v>-1.6666666666666607E-2</v>
      </c>
      <c r="R169" s="3">
        <f t="shared" si="46"/>
        <v>5.0000000000000044E-2</v>
      </c>
      <c r="S169" s="3">
        <f t="shared" si="46"/>
        <v>0.1166666666666667</v>
      </c>
      <c r="T169" s="3">
        <f t="shared" si="46"/>
        <v>0.18333333333333335</v>
      </c>
      <c r="U169" s="3">
        <f t="shared" si="46"/>
        <v>0.25</v>
      </c>
      <c r="V169" s="3">
        <f t="shared" si="46"/>
        <v>0.25</v>
      </c>
      <c r="W169" s="3">
        <f t="shared" si="46"/>
        <v>0.25</v>
      </c>
      <c r="X169" s="3">
        <f t="shared" si="46"/>
        <v>0.25</v>
      </c>
      <c r="Y169" s="3">
        <f t="shared" si="46"/>
        <v>0.25</v>
      </c>
      <c r="Z169" s="3">
        <f t="shared" si="46"/>
        <v>0.25</v>
      </c>
      <c r="AA169" s="3">
        <f t="shared" si="46"/>
        <v>0.25</v>
      </c>
      <c r="AB169" s="3">
        <f t="shared" si="46"/>
        <v>0.25</v>
      </c>
      <c r="AC169" s="3">
        <f t="shared" si="46"/>
        <v>0.25</v>
      </c>
      <c r="AD169" s="3">
        <f t="shared" si="46"/>
        <v>0.25</v>
      </c>
      <c r="AE169" s="3">
        <f t="shared" si="46"/>
        <v>0.25</v>
      </c>
      <c r="AF169" s="3">
        <f t="shared" si="46"/>
        <v>0.25</v>
      </c>
      <c r="AG169" s="3">
        <f t="shared" si="46"/>
        <v>0.25</v>
      </c>
      <c r="AH169" s="3">
        <f t="shared" si="46"/>
        <v>0.25</v>
      </c>
      <c r="AI169" s="3">
        <f t="shared" si="46"/>
        <v>0.25</v>
      </c>
      <c r="AJ169" s="3">
        <f t="shared" si="46"/>
        <v>0.25</v>
      </c>
      <c r="AK169" s="3">
        <f t="shared" si="46"/>
        <v>0.25</v>
      </c>
      <c r="AL169" s="3">
        <f t="shared" si="46"/>
        <v>0.25</v>
      </c>
      <c r="AM169" s="3">
        <f t="shared" si="46"/>
        <v>0.25</v>
      </c>
      <c r="AN169" s="3">
        <f t="shared" si="46"/>
        <v>0.25</v>
      </c>
      <c r="AO169" s="3">
        <f t="shared" si="46"/>
        <v>0.25</v>
      </c>
      <c r="AP169" s="3">
        <f t="shared" si="46"/>
        <v>0.25</v>
      </c>
      <c r="AQ169" s="3">
        <f t="shared" si="46"/>
        <v>0.25</v>
      </c>
      <c r="AR169" s="3">
        <f t="shared" si="46"/>
        <v>0.25</v>
      </c>
      <c r="AS169" s="3">
        <f t="shared" si="46"/>
        <v>0.25</v>
      </c>
      <c r="AT169" s="3">
        <f t="shared" si="46"/>
        <v>0.25</v>
      </c>
    </row>
    <row r="186" spans="1:46" ht="14.05" customHeight="1" x14ac:dyDescent="0.5">
      <c r="A186" s="11" t="s">
        <v>69</v>
      </c>
    </row>
    <row r="187" spans="1:46" ht="14.05" customHeight="1" x14ac:dyDescent="0.5">
      <c r="A187" s="3" t="s">
        <v>70</v>
      </c>
      <c r="B187" s="43">
        <v>0.25</v>
      </c>
      <c r="E187" s="3" t="s">
        <v>59</v>
      </c>
      <c r="F187" s="3">
        <v>0</v>
      </c>
      <c r="G187" s="3">
        <v>1</v>
      </c>
      <c r="H187" s="3">
        <v>2</v>
      </c>
      <c r="I187" s="3">
        <v>3</v>
      </c>
      <c r="J187" s="3">
        <v>4</v>
      </c>
      <c r="K187" s="3">
        <v>5</v>
      </c>
      <c r="L187" s="3">
        <v>6</v>
      </c>
      <c r="M187" s="3">
        <v>7</v>
      </c>
      <c r="N187" s="3">
        <v>8</v>
      </c>
      <c r="O187" s="3">
        <v>9</v>
      </c>
      <c r="P187" s="3">
        <v>10</v>
      </c>
      <c r="Q187" s="3">
        <v>11</v>
      </c>
      <c r="R187" s="3">
        <v>12</v>
      </c>
      <c r="S187" s="3">
        <v>13</v>
      </c>
      <c r="T187" s="3">
        <v>14</v>
      </c>
      <c r="U187" s="3">
        <v>15</v>
      </c>
      <c r="V187" s="3">
        <v>16</v>
      </c>
      <c r="W187" s="3">
        <v>17</v>
      </c>
      <c r="X187" s="3">
        <v>18</v>
      </c>
      <c r="Y187" s="3">
        <v>19</v>
      </c>
      <c r="Z187" s="3">
        <v>20</v>
      </c>
      <c r="AA187" s="3">
        <v>21</v>
      </c>
      <c r="AB187" s="3">
        <v>22</v>
      </c>
      <c r="AC187" s="3">
        <v>23</v>
      </c>
      <c r="AD187" s="3">
        <v>24</v>
      </c>
      <c r="AE187" s="3">
        <v>25</v>
      </c>
      <c r="AF187" s="3">
        <v>26</v>
      </c>
      <c r="AG187" s="3">
        <v>27</v>
      </c>
      <c r="AH187" s="3">
        <v>28</v>
      </c>
      <c r="AI187" s="3">
        <v>29</v>
      </c>
      <c r="AJ187" s="3">
        <v>30</v>
      </c>
      <c r="AK187" s="3">
        <v>31</v>
      </c>
      <c r="AL187" s="3">
        <v>32</v>
      </c>
      <c r="AM187" s="3">
        <v>33</v>
      </c>
      <c r="AN187" s="3">
        <v>34</v>
      </c>
      <c r="AO187" s="3">
        <v>35</v>
      </c>
      <c r="AP187" s="3">
        <v>36</v>
      </c>
      <c r="AQ187" s="3">
        <v>37</v>
      </c>
      <c r="AR187" s="3">
        <v>38</v>
      </c>
      <c r="AS187" s="3">
        <v>39</v>
      </c>
      <c r="AT187" s="3">
        <v>40</v>
      </c>
    </row>
    <row r="188" spans="1:46" ht="14.05" customHeight="1" x14ac:dyDescent="0.5">
      <c r="E188" s="44" t="s">
        <v>63</v>
      </c>
      <c r="F188" s="3">
        <f t="shared" ref="F188:AT188" si="47">F$191+3*sd_of_innate_ability</f>
        <v>0.75</v>
      </c>
      <c r="G188" s="3">
        <f t="shared" si="47"/>
        <v>0.83333333333333326</v>
      </c>
      <c r="H188" s="3">
        <f t="shared" si="47"/>
        <v>0.91666666666666663</v>
      </c>
      <c r="I188" s="3">
        <f t="shared" si="47"/>
        <v>1</v>
      </c>
      <c r="J188" s="3">
        <f t="shared" si="47"/>
        <v>1.0833333333333335</v>
      </c>
      <c r="K188" s="3">
        <f t="shared" si="47"/>
        <v>1.1666666666666667</v>
      </c>
      <c r="L188" s="3">
        <f t="shared" si="47"/>
        <v>1.25</v>
      </c>
      <c r="M188" s="3">
        <f t="shared" si="47"/>
        <v>1.3333333333333335</v>
      </c>
      <c r="N188" s="3">
        <f t="shared" si="47"/>
        <v>1.4166666666666665</v>
      </c>
      <c r="O188" s="3">
        <f t="shared" si="47"/>
        <v>1.5</v>
      </c>
      <c r="P188" s="3">
        <f t="shared" si="47"/>
        <v>1.5833333333333335</v>
      </c>
      <c r="Q188" s="3">
        <f t="shared" si="47"/>
        <v>1.6666666666666667</v>
      </c>
      <c r="R188" s="3">
        <f t="shared" si="47"/>
        <v>1.75</v>
      </c>
      <c r="S188" s="3">
        <f t="shared" si="47"/>
        <v>1.8333333333333335</v>
      </c>
      <c r="T188" s="3">
        <f t="shared" si="47"/>
        <v>1.9166666666666667</v>
      </c>
      <c r="U188" s="3">
        <f t="shared" si="47"/>
        <v>2</v>
      </c>
      <c r="V188" s="3">
        <f t="shared" si="47"/>
        <v>2</v>
      </c>
      <c r="W188" s="3">
        <f t="shared" si="47"/>
        <v>2</v>
      </c>
      <c r="X188" s="3">
        <f t="shared" si="47"/>
        <v>2</v>
      </c>
      <c r="Y188" s="3">
        <f t="shared" si="47"/>
        <v>2</v>
      </c>
      <c r="Z188" s="3">
        <f t="shared" si="47"/>
        <v>2</v>
      </c>
      <c r="AA188" s="3">
        <f t="shared" si="47"/>
        <v>2</v>
      </c>
      <c r="AB188" s="3">
        <f t="shared" si="47"/>
        <v>2</v>
      </c>
      <c r="AC188" s="3">
        <f t="shared" si="47"/>
        <v>2</v>
      </c>
      <c r="AD188" s="3">
        <f t="shared" si="47"/>
        <v>2</v>
      </c>
      <c r="AE188" s="3">
        <f t="shared" si="47"/>
        <v>2</v>
      </c>
      <c r="AF188" s="3">
        <f t="shared" si="47"/>
        <v>2</v>
      </c>
      <c r="AG188" s="3">
        <f t="shared" si="47"/>
        <v>2</v>
      </c>
      <c r="AH188" s="3">
        <f t="shared" si="47"/>
        <v>2</v>
      </c>
      <c r="AI188" s="3">
        <f t="shared" si="47"/>
        <v>2</v>
      </c>
      <c r="AJ188" s="3">
        <f t="shared" si="47"/>
        <v>2</v>
      </c>
      <c r="AK188" s="3">
        <f t="shared" si="47"/>
        <v>2</v>
      </c>
      <c r="AL188" s="3">
        <f t="shared" si="47"/>
        <v>2</v>
      </c>
      <c r="AM188" s="3">
        <f t="shared" si="47"/>
        <v>2</v>
      </c>
      <c r="AN188" s="3">
        <f t="shared" si="47"/>
        <v>2</v>
      </c>
      <c r="AO188" s="3">
        <f t="shared" si="47"/>
        <v>2</v>
      </c>
      <c r="AP188" s="3">
        <f t="shared" si="47"/>
        <v>2</v>
      </c>
      <c r="AQ188" s="3">
        <f t="shared" si="47"/>
        <v>2</v>
      </c>
      <c r="AR188" s="3">
        <f t="shared" si="47"/>
        <v>2</v>
      </c>
      <c r="AS188" s="3">
        <f t="shared" si="47"/>
        <v>2</v>
      </c>
      <c r="AT188" s="3">
        <f t="shared" si="47"/>
        <v>2</v>
      </c>
    </row>
    <row r="189" spans="1:46" ht="14.05" customHeight="1" x14ac:dyDescent="0.5">
      <c r="E189" s="44" t="s">
        <v>64</v>
      </c>
      <c r="F189" s="3">
        <f t="shared" ref="F189:AT189" si="48">F$191+2*sd_of_innate_ability</f>
        <v>0.5</v>
      </c>
      <c r="G189" s="3">
        <f t="shared" si="48"/>
        <v>0.58333333333333326</v>
      </c>
      <c r="H189" s="3">
        <f t="shared" si="48"/>
        <v>0.66666666666666663</v>
      </c>
      <c r="I189" s="3">
        <f t="shared" si="48"/>
        <v>0.75</v>
      </c>
      <c r="J189" s="3">
        <f t="shared" si="48"/>
        <v>0.83333333333333337</v>
      </c>
      <c r="K189" s="3">
        <f t="shared" si="48"/>
        <v>0.91666666666666674</v>
      </c>
      <c r="L189" s="3">
        <f t="shared" si="48"/>
        <v>1</v>
      </c>
      <c r="M189" s="3">
        <f t="shared" si="48"/>
        <v>1.0833333333333335</v>
      </c>
      <c r="N189" s="3">
        <f t="shared" si="48"/>
        <v>1.1666666666666665</v>
      </c>
      <c r="O189" s="3">
        <f t="shared" si="48"/>
        <v>1.25</v>
      </c>
      <c r="P189" s="3">
        <f t="shared" si="48"/>
        <v>1.3333333333333335</v>
      </c>
      <c r="Q189" s="3">
        <f t="shared" si="48"/>
        <v>1.4166666666666667</v>
      </c>
      <c r="R189" s="3">
        <f t="shared" si="48"/>
        <v>1.5</v>
      </c>
      <c r="S189" s="3">
        <f t="shared" si="48"/>
        <v>1.5833333333333335</v>
      </c>
      <c r="T189" s="3">
        <f t="shared" si="48"/>
        <v>1.6666666666666667</v>
      </c>
      <c r="U189" s="3">
        <f t="shared" si="48"/>
        <v>1.75</v>
      </c>
      <c r="V189" s="3">
        <f t="shared" si="48"/>
        <v>1.75</v>
      </c>
      <c r="W189" s="3">
        <f t="shared" si="48"/>
        <v>1.75</v>
      </c>
      <c r="X189" s="3">
        <f t="shared" si="48"/>
        <v>1.75</v>
      </c>
      <c r="Y189" s="3">
        <f t="shared" si="48"/>
        <v>1.75</v>
      </c>
      <c r="Z189" s="3">
        <f t="shared" si="48"/>
        <v>1.75</v>
      </c>
      <c r="AA189" s="3">
        <f t="shared" si="48"/>
        <v>1.75</v>
      </c>
      <c r="AB189" s="3">
        <f t="shared" si="48"/>
        <v>1.75</v>
      </c>
      <c r="AC189" s="3">
        <f t="shared" si="48"/>
        <v>1.75</v>
      </c>
      <c r="AD189" s="3">
        <f t="shared" si="48"/>
        <v>1.75</v>
      </c>
      <c r="AE189" s="3">
        <f t="shared" si="48"/>
        <v>1.75</v>
      </c>
      <c r="AF189" s="3">
        <f t="shared" si="48"/>
        <v>1.75</v>
      </c>
      <c r="AG189" s="3">
        <f t="shared" si="48"/>
        <v>1.75</v>
      </c>
      <c r="AH189" s="3">
        <f t="shared" si="48"/>
        <v>1.75</v>
      </c>
      <c r="AI189" s="3">
        <f t="shared" si="48"/>
        <v>1.75</v>
      </c>
      <c r="AJ189" s="3">
        <f t="shared" si="48"/>
        <v>1.75</v>
      </c>
      <c r="AK189" s="3">
        <f t="shared" si="48"/>
        <v>1.75</v>
      </c>
      <c r="AL189" s="3">
        <f t="shared" si="48"/>
        <v>1.75</v>
      </c>
      <c r="AM189" s="3">
        <f t="shared" si="48"/>
        <v>1.75</v>
      </c>
      <c r="AN189" s="3">
        <f t="shared" si="48"/>
        <v>1.75</v>
      </c>
      <c r="AO189" s="3">
        <f t="shared" si="48"/>
        <v>1.75</v>
      </c>
      <c r="AP189" s="3">
        <f t="shared" si="48"/>
        <v>1.75</v>
      </c>
      <c r="AQ189" s="3">
        <f t="shared" si="48"/>
        <v>1.75</v>
      </c>
      <c r="AR189" s="3">
        <f t="shared" si="48"/>
        <v>1.75</v>
      </c>
      <c r="AS189" s="3">
        <f t="shared" si="48"/>
        <v>1.75</v>
      </c>
      <c r="AT189" s="3">
        <f t="shared" si="48"/>
        <v>1.75</v>
      </c>
    </row>
    <row r="190" spans="1:46" ht="14.05" customHeight="1" x14ac:dyDescent="0.5">
      <c r="E190" s="44" t="s">
        <v>65</v>
      </c>
      <c r="F190" s="3">
        <f t="shared" ref="F190:AT190" si="49">F$191+1*sd_of_innate_ability</f>
        <v>0.25</v>
      </c>
      <c r="G190" s="3">
        <f t="shared" si="49"/>
        <v>0.33333333333333331</v>
      </c>
      <c r="H190" s="3">
        <f t="shared" si="49"/>
        <v>0.41666666666666663</v>
      </c>
      <c r="I190" s="3">
        <f t="shared" si="49"/>
        <v>0.49999999999999994</v>
      </c>
      <c r="J190" s="3">
        <f t="shared" si="49"/>
        <v>0.58333333333333337</v>
      </c>
      <c r="K190" s="3">
        <f t="shared" si="49"/>
        <v>0.66666666666666674</v>
      </c>
      <c r="L190" s="3">
        <f t="shared" si="49"/>
        <v>0.75</v>
      </c>
      <c r="M190" s="3">
        <f t="shared" si="49"/>
        <v>0.83333333333333337</v>
      </c>
      <c r="N190" s="3">
        <f t="shared" si="49"/>
        <v>0.91666666666666663</v>
      </c>
      <c r="O190" s="3">
        <f t="shared" si="49"/>
        <v>1</v>
      </c>
      <c r="P190" s="3">
        <f t="shared" si="49"/>
        <v>1.0833333333333335</v>
      </c>
      <c r="Q190" s="3">
        <f t="shared" si="49"/>
        <v>1.1666666666666667</v>
      </c>
      <c r="R190" s="3">
        <f t="shared" si="49"/>
        <v>1.25</v>
      </c>
      <c r="S190" s="3">
        <f t="shared" si="49"/>
        <v>1.3333333333333335</v>
      </c>
      <c r="T190" s="3">
        <f t="shared" si="49"/>
        <v>1.4166666666666667</v>
      </c>
      <c r="U190" s="3">
        <f t="shared" si="49"/>
        <v>1.5</v>
      </c>
      <c r="V190" s="3">
        <f t="shared" si="49"/>
        <v>1.5</v>
      </c>
      <c r="W190" s="3">
        <f t="shared" si="49"/>
        <v>1.5</v>
      </c>
      <c r="X190" s="3">
        <f t="shared" si="49"/>
        <v>1.5</v>
      </c>
      <c r="Y190" s="3">
        <f t="shared" si="49"/>
        <v>1.5</v>
      </c>
      <c r="Z190" s="3">
        <f t="shared" si="49"/>
        <v>1.5</v>
      </c>
      <c r="AA190" s="3">
        <f t="shared" si="49"/>
        <v>1.5</v>
      </c>
      <c r="AB190" s="3">
        <f t="shared" si="49"/>
        <v>1.5</v>
      </c>
      <c r="AC190" s="3">
        <f t="shared" si="49"/>
        <v>1.5</v>
      </c>
      <c r="AD190" s="3">
        <f t="shared" si="49"/>
        <v>1.5</v>
      </c>
      <c r="AE190" s="3">
        <f t="shared" si="49"/>
        <v>1.5</v>
      </c>
      <c r="AF190" s="3">
        <f t="shared" si="49"/>
        <v>1.5</v>
      </c>
      <c r="AG190" s="3">
        <f t="shared" si="49"/>
        <v>1.5</v>
      </c>
      <c r="AH190" s="3">
        <f t="shared" si="49"/>
        <v>1.5</v>
      </c>
      <c r="AI190" s="3">
        <f t="shared" si="49"/>
        <v>1.5</v>
      </c>
      <c r="AJ190" s="3">
        <f t="shared" si="49"/>
        <v>1.5</v>
      </c>
      <c r="AK190" s="3">
        <f t="shared" si="49"/>
        <v>1.5</v>
      </c>
      <c r="AL190" s="3">
        <f t="shared" si="49"/>
        <v>1.5</v>
      </c>
      <c r="AM190" s="3">
        <f t="shared" si="49"/>
        <v>1.5</v>
      </c>
      <c r="AN190" s="3">
        <f t="shared" si="49"/>
        <v>1.5</v>
      </c>
      <c r="AO190" s="3">
        <f t="shared" si="49"/>
        <v>1.5</v>
      </c>
      <c r="AP190" s="3">
        <f t="shared" si="49"/>
        <v>1.5</v>
      </c>
      <c r="AQ190" s="3">
        <f t="shared" si="49"/>
        <v>1.5</v>
      </c>
      <c r="AR190" s="3">
        <f t="shared" si="49"/>
        <v>1.5</v>
      </c>
      <c r="AS190" s="3">
        <f t="shared" si="49"/>
        <v>1.5</v>
      </c>
      <c r="AT190" s="3">
        <f t="shared" si="49"/>
        <v>1.5</v>
      </c>
    </row>
    <row r="191" spans="1:46" ht="14.05" customHeight="1" x14ac:dyDescent="0.5">
      <c r="E191" s="44" t="s">
        <v>71</v>
      </c>
      <c r="F191" s="3">
        <f t="shared" ref="F191:AT191" si="50">(1+multiplier_for_training)*F192</f>
        <v>0</v>
      </c>
      <c r="G191" s="3">
        <f t="shared" si="50"/>
        <v>8.3333333333333315E-2</v>
      </c>
      <c r="H191" s="3">
        <f t="shared" si="50"/>
        <v>0.16666666666666663</v>
      </c>
      <c r="I191" s="3">
        <f t="shared" si="50"/>
        <v>0.24999999999999994</v>
      </c>
      <c r="J191" s="3">
        <f t="shared" si="50"/>
        <v>0.33333333333333337</v>
      </c>
      <c r="K191" s="3">
        <f t="shared" si="50"/>
        <v>0.41666666666666674</v>
      </c>
      <c r="L191" s="3">
        <f t="shared" si="50"/>
        <v>0.5</v>
      </c>
      <c r="M191" s="3">
        <f t="shared" si="50"/>
        <v>0.58333333333333337</v>
      </c>
      <c r="N191" s="3">
        <f t="shared" si="50"/>
        <v>0.66666666666666663</v>
      </c>
      <c r="O191" s="3">
        <f t="shared" si="50"/>
        <v>0.75</v>
      </c>
      <c r="P191" s="3">
        <f t="shared" si="50"/>
        <v>0.83333333333333348</v>
      </c>
      <c r="Q191" s="3">
        <f t="shared" si="50"/>
        <v>0.91666666666666674</v>
      </c>
      <c r="R191" s="3">
        <f t="shared" si="50"/>
        <v>1</v>
      </c>
      <c r="S191" s="3">
        <f t="shared" si="50"/>
        <v>1.0833333333333335</v>
      </c>
      <c r="T191" s="3">
        <f t="shared" si="50"/>
        <v>1.1666666666666667</v>
      </c>
      <c r="U191" s="3">
        <f t="shared" si="50"/>
        <v>1.25</v>
      </c>
      <c r="V191" s="3">
        <f t="shared" si="50"/>
        <v>1.25</v>
      </c>
      <c r="W191" s="3">
        <f t="shared" si="50"/>
        <v>1.25</v>
      </c>
      <c r="X191" s="3">
        <f t="shared" si="50"/>
        <v>1.25</v>
      </c>
      <c r="Y191" s="3">
        <f t="shared" si="50"/>
        <v>1.25</v>
      </c>
      <c r="Z191" s="3">
        <f t="shared" si="50"/>
        <v>1.25</v>
      </c>
      <c r="AA191" s="3">
        <f t="shared" si="50"/>
        <v>1.25</v>
      </c>
      <c r="AB191" s="3">
        <f t="shared" si="50"/>
        <v>1.25</v>
      </c>
      <c r="AC191" s="3">
        <f t="shared" si="50"/>
        <v>1.25</v>
      </c>
      <c r="AD191" s="3">
        <f t="shared" si="50"/>
        <v>1.25</v>
      </c>
      <c r="AE191" s="3">
        <f t="shared" si="50"/>
        <v>1.25</v>
      </c>
      <c r="AF191" s="3">
        <f t="shared" si="50"/>
        <v>1.25</v>
      </c>
      <c r="AG191" s="3">
        <f t="shared" si="50"/>
        <v>1.25</v>
      </c>
      <c r="AH191" s="3">
        <f t="shared" si="50"/>
        <v>1.25</v>
      </c>
      <c r="AI191" s="3">
        <f t="shared" si="50"/>
        <v>1.25</v>
      </c>
      <c r="AJ191" s="3">
        <f t="shared" si="50"/>
        <v>1.25</v>
      </c>
      <c r="AK191" s="3">
        <f t="shared" si="50"/>
        <v>1.25</v>
      </c>
      <c r="AL191" s="3">
        <f t="shared" si="50"/>
        <v>1.25</v>
      </c>
      <c r="AM191" s="3">
        <f t="shared" si="50"/>
        <v>1.25</v>
      </c>
      <c r="AN191" s="3">
        <f t="shared" si="50"/>
        <v>1.25</v>
      </c>
      <c r="AO191" s="3">
        <f t="shared" si="50"/>
        <v>1.25</v>
      </c>
      <c r="AP191" s="3">
        <f t="shared" si="50"/>
        <v>1.25</v>
      </c>
      <c r="AQ191" s="3">
        <f t="shared" si="50"/>
        <v>1.25</v>
      </c>
      <c r="AR191" s="3">
        <f t="shared" si="50"/>
        <v>1.25</v>
      </c>
      <c r="AS191" s="3">
        <f t="shared" si="50"/>
        <v>1.25</v>
      </c>
      <c r="AT191" s="3">
        <f t="shared" si="50"/>
        <v>1.25</v>
      </c>
    </row>
    <row r="192" spans="1:46" ht="14.05" customHeight="1" x14ac:dyDescent="0.5">
      <c r="E192" s="3" t="s">
        <v>62</v>
      </c>
      <c r="F192" s="3">
        <f>IF(F187&gt;$B$131,1,(1-($B$131-F187)/($B$131)))</f>
        <v>0</v>
      </c>
      <c r="G192" s="3">
        <f t="shared" ref="G192:AT192" si="51">IF(G187&gt;$B$131,1,(1-($B$131-G187)/($B$131)))</f>
        <v>6.6666666666666652E-2</v>
      </c>
      <c r="H192" s="3">
        <f t="shared" si="51"/>
        <v>0.1333333333333333</v>
      </c>
      <c r="I192" s="3">
        <f t="shared" si="51"/>
        <v>0.19999999999999996</v>
      </c>
      <c r="J192" s="3">
        <f t="shared" si="51"/>
        <v>0.26666666666666672</v>
      </c>
      <c r="K192" s="3">
        <f t="shared" si="51"/>
        <v>0.33333333333333337</v>
      </c>
      <c r="L192" s="3">
        <f t="shared" si="51"/>
        <v>0.4</v>
      </c>
      <c r="M192" s="3">
        <f t="shared" si="51"/>
        <v>0.46666666666666667</v>
      </c>
      <c r="N192" s="3">
        <f t="shared" si="51"/>
        <v>0.53333333333333333</v>
      </c>
      <c r="O192" s="3">
        <f t="shared" si="51"/>
        <v>0.6</v>
      </c>
      <c r="P192" s="3">
        <f t="shared" si="51"/>
        <v>0.66666666666666674</v>
      </c>
      <c r="Q192" s="3">
        <f t="shared" si="51"/>
        <v>0.73333333333333339</v>
      </c>
      <c r="R192" s="3">
        <f t="shared" si="51"/>
        <v>0.8</v>
      </c>
      <c r="S192" s="3">
        <f t="shared" si="51"/>
        <v>0.8666666666666667</v>
      </c>
      <c r="T192" s="3">
        <f t="shared" si="51"/>
        <v>0.93333333333333335</v>
      </c>
      <c r="U192" s="3">
        <f t="shared" si="51"/>
        <v>1</v>
      </c>
      <c r="V192" s="3">
        <f t="shared" si="51"/>
        <v>1</v>
      </c>
      <c r="W192" s="3">
        <f t="shared" si="51"/>
        <v>1</v>
      </c>
      <c r="X192" s="3">
        <f t="shared" si="51"/>
        <v>1</v>
      </c>
      <c r="Y192" s="3">
        <f t="shared" si="51"/>
        <v>1</v>
      </c>
      <c r="Z192" s="3">
        <f t="shared" si="51"/>
        <v>1</v>
      </c>
      <c r="AA192" s="3">
        <f t="shared" si="51"/>
        <v>1</v>
      </c>
      <c r="AB192" s="3">
        <f t="shared" si="51"/>
        <v>1</v>
      </c>
      <c r="AC192" s="3">
        <f t="shared" si="51"/>
        <v>1</v>
      </c>
      <c r="AD192" s="3">
        <f t="shared" si="51"/>
        <v>1</v>
      </c>
      <c r="AE192" s="3">
        <f t="shared" si="51"/>
        <v>1</v>
      </c>
      <c r="AF192" s="3">
        <f t="shared" si="51"/>
        <v>1</v>
      </c>
      <c r="AG192" s="3">
        <f t="shared" si="51"/>
        <v>1</v>
      </c>
      <c r="AH192" s="3">
        <f t="shared" si="51"/>
        <v>1</v>
      </c>
      <c r="AI192" s="3">
        <f t="shared" si="51"/>
        <v>1</v>
      </c>
      <c r="AJ192" s="3">
        <f t="shared" si="51"/>
        <v>1</v>
      </c>
      <c r="AK192" s="3">
        <f t="shared" si="51"/>
        <v>1</v>
      </c>
      <c r="AL192" s="3">
        <f t="shared" si="51"/>
        <v>1</v>
      </c>
      <c r="AM192" s="3">
        <f t="shared" si="51"/>
        <v>1</v>
      </c>
      <c r="AN192" s="3">
        <f t="shared" si="51"/>
        <v>1</v>
      </c>
      <c r="AO192" s="3">
        <f t="shared" si="51"/>
        <v>1</v>
      </c>
      <c r="AP192" s="3">
        <f t="shared" si="51"/>
        <v>1</v>
      </c>
      <c r="AQ192" s="3">
        <f t="shared" si="51"/>
        <v>1</v>
      </c>
      <c r="AR192" s="3">
        <f t="shared" si="51"/>
        <v>1</v>
      </c>
      <c r="AS192" s="3">
        <f t="shared" si="51"/>
        <v>1</v>
      </c>
      <c r="AT192" s="3">
        <f t="shared" si="51"/>
        <v>1</v>
      </c>
    </row>
    <row r="193" spans="5:46" ht="14.05" customHeight="1" x14ac:dyDescent="0.5">
      <c r="E193" s="44" t="s">
        <v>66</v>
      </c>
      <c r="F193" s="3">
        <f t="shared" ref="F193:AT193" si="52">F$191-1*sd_of_innate_ability</f>
        <v>-0.25</v>
      </c>
      <c r="G193" s="3">
        <f t="shared" si="52"/>
        <v>-0.16666666666666669</v>
      </c>
      <c r="H193" s="3">
        <f t="shared" si="52"/>
        <v>-8.333333333333337E-2</v>
      </c>
      <c r="I193" s="3">
        <f t="shared" si="52"/>
        <v>0</v>
      </c>
      <c r="J193" s="3">
        <f t="shared" si="52"/>
        <v>8.333333333333337E-2</v>
      </c>
      <c r="K193" s="3">
        <f t="shared" si="52"/>
        <v>0.16666666666666674</v>
      </c>
      <c r="L193" s="3">
        <f t="shared" si="52"/>
        <v>0.25</v>
      </c>
      <c r="M193" s="3">
        <f t="shared" si="52"/>
        <v>0.33333333333333337</v>
      </c>
      <c r="N193" s="3">
        <f t="shared" si="52"/>
        <v>0.41666666666666663</v>
      </c>
      <c r="O193" s="3">
        <f t="shared" si="52"/>
        <v>0.5</v>
      </c>
      <c r="P193" s="3">
        <f t="shared" si="52"/>
        <v>0.58333333333333348</v>
      </c>
      <c r="Q193" s="3">
        <f t="shared" si="52"/>
        <v>0.66666666666666674</v>
      </c>
      <c r="R193" s="3">
        <f t="shared" si="52"/>
        <v>0.75</v>
      </c>
      <c r="S193" s="3">
        <f t="shared" si="52"/>
        <v>0.83333333333333348</v>
      </c>
      <c r="T193" s="3">
        <f t="shared" si="52"/>
        <v>0.91666666666666674</v>
      </c>
      <c r="U193" s="3">
        <f t="shared" si="52"/>
        <v>1</v>
      </c>
      <c r="V193" s="3">
        <f t="shared" si="52"/>
        <v>1</v>
      </c>
      <c r="W193" s="3">
        <f t="shared" si="52"/>
        <v>1</v>
      </c>
      <c r="X193" s="3">
        <f t="shared" si="52"/>
        <v>1</v>
      </c>
      <c r="Y193" s="3">
        <f t="shared" si="52"/>
        <v>1</v>
      </c>
      <c r="Z193" s="3">
        <f t="shared" si="52"/>
        <v>1</v>
      </c>
      <c r="AA193" s="3">
        <f t="shared" si="52"/>
        <v>1</v>
      </c>
      <c r="AB193" s="3">
        <f t="shared" si="52"/>
        <v>1</v>
      </c>
      <c r="AC193" s="3">
        <f t="shared" si="52"/>
        <v>1</v>
      </c>
      <c r="AD193" s="3">
        <f t="shared" si="52"/>
        <v>1</v>
      </c>
      <c r="AE193" s="3">
        <f t="shared" si="52"/>
        <v>1</v>
      </c>
      <c r="AF193" s="3">
        <f t="shared" si="52"/>
        <v>1</v>
      </c>
      <c r="AG193" s="3">
        <f t="shared" si="52"/>
        <v>1</v>
      </c>
      <c r="AH193" s="3">
        <f t="shared" si="52"/>
        <v>1</v>
      </c>
      <c r="AI193" s="3">
        <f t="shared" si="52"/>
        <v>1</v>
      </c>
      <c r="AJ193" s="3">
        <f t="shared" si="52"/>
        <v>1</v>
      </c>
      <c r="AK193" s="3">
        <f t="shared" si="52"/>
        <v>1</v>
      </c>
      <c r="AL193" s="3">
        <f t="shared" si="52"/>
        <v>1</v>
      </c>
      <c r="AM193" s="3">
        <f t="shared" si="52"/>
        <v>1</v>
      </c>
      <c r="AN193" s="3">
        <f t="shared" si="52"/>
        <v>1</v>
      </c>
      <c r="AO193" s="3">
        <f t="shared" si="52"/>
        <v>1</v>
      </c>
      <c r="AP193" s="3">
        <f t="shared" si="52"/>
        <v>1</v>
      </c>
      <c r="AQ193" s="3">
        <f t="shared" si="52"/>
        <v>1</v>
      </c>
      <c r="AR193" s="3">
        <f t="shared" si="52"/>
        <v>1</v>
      </c>
      <c r="AS193" s="3">
        <f t="shared" si="52"/>
        <v>1</v>
      </c>
      <c r="AT193" s="3">
        <f t="shared" si="52"/>
        <v>1</v>
      </c>
    </row>
    <row r="194" spans="5:46" ht="14.05" customHeight="1" x14ac:dyDescent="0.5">
      <c r="E194" s="44" t="s">
        <v>67</v>
      </c>
      <c r="F194" s="3">
        <f t="shared" ref="F194:AT194" si="53">F$191-2*sd_of_innate_ability</f>
        <v>-0.5</v>
      </c>
      <c r="G194" s="3">
        <f t="shared" si="53"/>
        <v>-0.41666666666666669</v>
      </c>
      <c r="H194" s="3">
        <f t="shared" si="53"/>
        <v>-0.33333333333333337</v>
      </c>
      <c r="I194" s="3">
        <f t="shared" si="53"/>
        <v>-0.25000000000000006</v>
      </c>
      <c r="J194" s="3">
        <f t="shared" si="53"/>
        <v>-0.16666666666666663</v>
      </c>
      <c r="K194" s="3">
        <f t="shared" si="53"/>
        <v>-8.3333333333333259E-2</v>
      </c>
      <c r="L194" s="3">
        <f t="shared" si="53"/>
        <v>0</v>
      </c>
      <c r="M194" s="3">
        <f t="shared" si="53"/>
        <v>8.333333333333337E-2</v>
      </c>
      <c r="N194" s="3">
        <f t="shared" si="53"/>
        <v>0.16666666666666663</v>
      </c>
      <c r="O194" s="3">
        <f t="shared" si="53"/>
        <v>0.25</v>
      </c>
      <c r="P194" s="3">
        <f t="shared" si="53"/>
        <v>0.33333333333333348</v>
      </c>
      <c r="Q194" s="3">
        <f t="shared" si="53"/>
        <v>0.41666666666666674</v>
      </c>
      <c r="R194" s="3">
        <f t="shared" si="53"/>
        <v>0.5</v>
      </c>
      <c r="S194" s="3">
        <f t="shared" si="53"/>
        <v>0.58333333333333348</v>
      </c>
      <c r="T194" s="3">
        <f t="shared" si="53"/>
        <v>0.66666666666666674</v>
      </c>
      <c r="U194" s="3">
        <f t="shared" si="53"/>
        <v>0.75</v>
      </c>
      <c r="V194" s="3">
        <f t="shared" si="53"/>
        <v>0.75</v>
      </c>
      <c r="W194" s="3">
        <f t="shared" si="53"/>
        <v>0.75</v>
      </c>
      <c r="X194" s="3">
        <f t="shared" si="53"/>
        <v>0.75</v>
      </c>
      <c r="Y194" s="3">
        <f t="shared" si="53"/>
        <v>0.75</v>
      </c>
      <c r="Z194" s="3">
        <f t="shared" si="53"/>
        <v>0.75</v>
      </c>
      <c r="AA194" s="3">
        <f t="shared" si="53"/>
        <v>0.75</v>
      </c>
      <c r="AB194" s="3">
        <f t="shared" si="53"/>
        <v>0.75</v>
      </c>
      <c r="AC194" s="3">
        <f t="shared" si="53"/>
        <v>0.75</v>
      </c>
      <c r="AD194" s="3">
        <f t="shared" si="53"/>
        <v>0.75</v>
      </c>
      <c r="AE194" s="3">
        <f t="shared" si="53"/>
        <v>0.75</v>
      </c>
      <c r="AF194" s="3">
        <f t="shared" si="53"/>
        <v>0.75</v>
      </c>
      <c r="AG194" s="3">
        <f t="shared" si="53"/>
        <v>0.75</v>
      </c>
      <c r="AH194" s="3">
        <f t="shared" si="53"/>
        <v>0.75</v>
      </c>
      <c r="AI194" s="3">
        <f t="shared" si="53"/>
        <v>0.75</v>
      </c>
      <c r="AJ194" s="3">
        <f t="shared" si="53"/>
        <v>0.75</v>
      </c>
      <c r="AK194" s="3">
        <f t="shared" si="53"/>
        <v>0.75</v>
      </c>
      <c r="AL194" s="3">
        <f t="shared" si="53"/>
        <v>0.75</v>
      </c>
      <c r="AM194" s="3">
        <f t="shared" si="53"/>
        <v>0.75</v>
      </c>
      <c r="AN194" s="3">
        <f t="shared" si="53"/>
        <v>0.75</v>
      </c>
      <c r="AO194" s="3">
        <f t="shared" si="53"/>
        <v>0.75</v>
      </c>
      <c r="AP194" s="3">
        <f t="shared" si="53"/>
        <v>0.75</v>
      </c>
      <c r="AQ194" s="3">
        <f t="shared" si="53"/>
        <v>0.75</v>
      </c>
      <c r="AR194" s="3">
        <f t="shared" si="53"/>
        <v>0.75</v>
      </c>
      <c r="AS194" s="3">
        <f t="shared" si="53"/>
        <v>0.75</v>
      </c>
      <c r="AT194" s="3">
        <f t="shared" si="53"/>
        <v>0.75</v>
      </c>
    </row>
    <row r="195" spans="5:46" ht="14.05" customHeight="1" x14ac:dyDescent="0.5">
      <c r="E195" s="44" t="s">
        <v>68</v>
      </c>
      <c r="F195" s="3">
        <f t="shared" ref="F195:AT195" si="54">F$191-3*sd_of_innate_ability</f>
        <v>-0.75</v>
      </c>
      <c r="G195" s="3">
        <f t="shared" si="54"/>
        <v>-0.66666666666666674</v>
      </c>
      <c r="H195" s="3">
        <f t="shared" si="54"/>
        <v>-0.58333333333333337</v>
      </c>
      <c r="I195" s="3">
        <f t="shared" si="54"/>
        <v>-0.5</v>
      </c>
      <c r="J195" s="3">
        <f t="shared" si="54"/>
        <v>-0.41666666666666663</v>
      </c>
      <c r="K195" s="3">
        <f t="shared" si="54"/>
        <v>-0.33333333333333326</v>
      </c>
      <c r="L195" s="3">
        <f t="shared" si="54"/>
        <v>-0.25</v>
      </c>
      <c r="M195" s="3">
        <f t="shared" si="54"/>
        <v>-0.16666666666666663</v>
      </c>
      <c r="N195" s="3">
        <f t="shared" si="54"/>
        <v>-8.333333333333337E-2</v>
      </c>
      <c r="O195" s="3">
        <f t="shared" si="54"/>
        <v>0</v>
      </c>
      <c r="P195" s="3">
        <f t="shared" si="54"/>
        <v>8.3333333333333481E-2</v>
      </c>
      <c r="Q195" s="3">
        <f t="shared" si="54"/>
        <v>0.16666666666666674</v>
      </c>
      <c r="R195" s="3">
        <f t="shared" si="54"/>
        <v>0.25</v>
      </c>
      <c r="S195" s="3">
        <f t="shared" si="54"/>
        <v>0.33333333333333348</v>
      </c>
      <c r="T195" s="3">
        <f t="shared" si="54"/>
        <v>0.41666666666666674</v>
      </c>
      <c r="U195" s="3">
        <f t="shared" si="54"/>
        <v>0.5</v>
      </c>
      <c r="V195" s="3">
        <f t="shared" si="54"/>
        <v>0.5</v>
      </c>
      <c r="W195" s="3">
        <f t="shared" si="54"/>
        <v>0.5</v>
      </c>
      <c r="X195" s="3">
        <f t="shared" si="54"/>
        <v>0.5</v>
      </c>
      <c r="Y195" s="3">
        <f t="shared" si="54"/>
        <v>0.5</v>
      </c>
      <c r="Z195" s="3">
        <f t="shared" si="54"/>
        <v>0.5</v>
      </c>
      <c r="AA195" s="3">
        <f t="shared" si="54"/>
        <v>0.5</v>
      </c>
      <c r="AB195" s="3">
        <f t="shared" si="54"/>
        <v>0.5</v>
      </c>
      <c r="AC195" s="3">
        <f t="shared" si="54"/>
        <v>0.5</v>
      </c>
      <c r="AD195" s="3">
        <f t="shared" si="54"/>
        <v>0.5</v>
      </c>
      <c r="AE195" s="3">
        <f t="shared" si="54"/>
        <v>0.5</v>
      </c>
      <c r="AF195" s="3">
        <f t="shared" si="54"/>
        <v>0.5</v>
      </c>
      <c r="AG195" s="3">
        <f t="shared" si="54"/>
        <v>0.5</v>
      </c>
      <c r="AH195" s="3">
        <f t="shared" si="54"/>
        <v>0.5</v>
      </c>
      <c r="AI195" s="3">
        <f t="shared" si="54"/>
        <v>0.5</v>
      </c>
      <c r="AJ195" s="3">
        <f t="shared" si="54"/>
        <v>0.5</v>
      </c>
      <c r="AK195" s="3">
        <f t="shared" si="54"/>
        <v>0.5</v>
      </c>
      <c r="AL195" s="3">
        <f t="shared" si="54"/>
        <v>0.5</v>
      </c>
      <c r="AM195" s="3">
        <f t="shared" si="54"/>
        <v>0.5</v>
      </c>
      <c r="AN195" s="3">
        <f t="shared" si="54"/>
        <v>0.5</v>
      </c>
      <c r="AO195" s="3">
        <f t="shared" si="54"/>
        <v>0.5</v>
      </c>
      <c r="AP195" s="3">
        <f t="shared" si="54"/>
        <v>0.5</v>
      </c>
      <c r="AQ195" s="3">
        <f t="shared" si="54"/>
        <v>0.5</v>
      </c>
      <c r="AR195" s="3">
        <f t="shared" si="54"/>
        <v>0.5</v>
      </c>
      <c r="AS195" s="3">
        <f t="shared" si="54"/>
        <v>0.5</v>
      </c>
      <c r="AT195" s="3">
        <f t="shared" si="54"/>
        <v>0.5</v>
      </c>
    </row>
    <row r="214" spans="1:46" ht="14.05" customHeight="1" x14ac:dyDescent="0.5">
      <c r="A214" s="11" t="s">
        <v>101</v>
      </c>
    </row>
    <row r="216" spans="1:46" ht="14.05" customHeight="1" x14ac:dyDescent="0.5">
      <c r="A216" s="30" t="s">
        <v>72</v>
      </c>
    </row>
    <row r="217" spans="1:46" ht="14.05" customHeight="1" x14ac:dyDescent="0.5">
      <c r="A217" s="3" t="s">
        <v>73</v>
      </c>
      <c r="B217" s="45">
        <v>1200</v>
      </c>
      <c r="E217" s="3" t="s">
        <v>76</v>
      </c>
      <c r="F217" s="3">
        <v>0</v>
      </c>
      <c r="G217" s="3">
        <v>50</v>
      </c>
      <c r="H217" s="3">
        <v>100</v>
      </c>
      <c r="I217" s="3">
        <v>150</v>
      </c>
      <c r="J217" s="3">
        <v>200</v>
      </c>
      <c r="K217" s="3">
        <v>250</v>
      </c>
      <c r="L217" s="3">
        <v>300</v>
      </c>
      <c r="M217" s="3">
        <v>350</v>
      </c>
      <c r="N217" s="3">
        <v>400</v>
      </c>
      <c r="O217" s="3">
        <v>450</v>
      </c>
      <c r="P217" s="3">
        <v>500</v>
      </c>
      <c r="Q217" s="3">
        <v>550</v>
      </c>
      <c r="R217" s="3">
        <v>600</v>
      </c>
      <c r="S217" s="3">
        <v>650</v>
      </c>
      <c r="T217" s="3">
        <v>700</v>
      </c>
      <c r="U217" s="3">
        <v>750</v>
      </c>
      <c r="V217" s="3">
        <v>800</v>
      </c>
      <c r="W217" s="3">
        <v>850</v>
      </c>
      <c r="X217" s="3">
        <v>900</v>
      </c>
      <c r="Y217" s="3">
        <v>950</v>
      </c>
      <c r="Z217" s="3">
        <v>1000</v>
      </c>
      <c r="AA217" s="3">
        <v>1050</v>
      </c>
      <c r="AB217" s="3">
        <v>1100</v>
      </c>
      <c r="AC217" s="3">
        <v>1150</v>
      </c>
      <c r="AD217" s="3">
        <v>1200</v>
      </c>
      <c r="AE217" s="3">
        <v>1250</v>
      </c>
      <c r="AF217" s="3">
        <v>1300</v>
      </c>
      <c r="AG217" s="3">
        <v>1350</v>
      </c>
      <c r="AH217" s="3">
        <v>1400</v>
      </c>
      <c r="AI217" s="3">
        <v>1450</v>
      </c>
      <c r="AJ217" s="3">
        <v>1500</v>
      </c>
      <c r="AK217" s="3">
        <v>1550</v>
      </c>
      <c r="AL217" s="3">
        <v>1600</v>
      </c>
      <c r="AM217" s="3">
        <v>1650</v>
      </c>
      <c r="AN217" s="3">
        <v>1700</v>
      </c>
      <c r="AO217" s="3">
        <v>1750</v>
      </c>
      <c r="AP217" s="3">
        <v>1800</v>
      </c>
      <c r="AQ217" s="3">
        <v>1850</v>
      </c>
      <c r="AR217" s="3">
        <v>1900</v>
      </c>
      <c r="AS217" s="3">
        <v>1950</v>
      </c>
      <c r="AT217" s="3">
        <v>2000</v>
      </c>
    </row>
    <row r="218" spans="1:46" ht="14.05" customHeight="1" x14ac:dyDescent="0.5">
      <c r="A218" s="3" t="s">
        <v>75</v>
      </c>
      <c r="B218" s="46">
        <v>0.6</v>
      </c>
      <c r="E218" s="3" t="s">
        <v>77</v>
      </c>
      <c r="F218" s="47">
        <f t="shared" ref="F218:AT218" si="55">(F217/reference_training_programme_duration)^duration_exponent</f>
        <v>0</v>
      </c>
      <c r="G218" s="47">
        <f t="shared" si="55"/>
        <v>0.1485502048305003</v>
      </c>
      <c r="H218" s="47">
        <f t="shared" si="55"/>
        <v>0.22516000642010225</v>
      </c>
      <c r="I218" s="47">
        <f t="shared" si="55"/>
        <v>0.28717458874925877</v>
      </c>
      <c r="J218" s="47">
        <f t="shared" si="55"/>
        <v>0.34127875184653661</v>
      </c>
      <c r="K218" s="47">
        <f t="shared" si="55"/>
        <v>0.39017124333718384</v>
      </c>
      <c r="L218" s="47">
        <f t="shared" si="55"/>
        <v>0.43527528164806206</v>
      </c>
      <c r="M218" s="47">
        <f t="shared" si="55"/>
        <v>0.47745459682017838</v>
      </c>
      <c r="N218" s="47">
        <f t="shared" si="55"/>
        <v>0.51728185797178661</v>
      </c>
      <c r="O218" s="47">
        <f t="shared" si="55"/>
        <v>0.55516075873073001</v>
      </c>
      <c r="P218" s="47">
        <f t="shared" si="55"/>
        <v>0.59138901730212934</v>
      </c>
      <c r="Q218" s="47">
        <f t="shared" si="55"/>
        <v>0.62619394815697016</v>
      </c>
      <c r="R218" s="47">
        <f t="shared" si="55"/>
        <v>0.6597539553864471</v>
      </c>
      <c r="S218" s="47">
        <f t="shared" si="55"/>
        <v>0.69221222716274122</v>
      </c>
      <c r="T218" s="47">
        <f t="shared" si="55"/>
        <v>0.72368584215688725</v>
      </c>
      <c r="U218" s="47">
        <f t="shared" si="55"/>
        <v>0.75427204206814535</v>
      </c>
      <c r="V218" s="47">
        <f t="shared" si="55"/>
        <v>0.7840526816831157</v>
      </c>
      <c r="W218" s="47">
        <f t="shared" si="55"/>
        <v>0.81309746637890568</v>
      </c>
      <c r="X218" s="47">
        <f t="shared" si="55"/>
        <v>0.84146635908464962</v>
      </c>
      <c r="Y218" s="47">
        <f t="shared" si="55"/>
        <v>0.86921140388403062</v>
      </c>
      <c r="Z218" s="47">
        <f t="shared" si="55"/>
        <v>0.89637813077714179</v>
      </c>
      <c r="AA218" s="47">
        <f t="shared" si="55"/>
        <v>0.92300665384290281</v>
      </c>
      <c r="AB218" s="47">
        <f t="shared" si="55"/>
        <v>0.94913254107007305</v>
      </c>
      <c r="AC218" s="47">
        <f t="shared" si="55"/>
        <v>0.97478751150759502</v>
      </c>
      <c r="AD218" s="47">
        <f t="shared" si="55"/>
        <v>1</v>
      </c>
      <c r="AE218" s="47">
        <f t="shared" si="55"/>
        <v>1.0247956191039014</v>
      </c>
      <c r="AF218" s="47">
        <f t="shared" si="55"/>
        <v>1.0491975402516258</v>
      </c>
      <c r="AG218" s="47">
        <f t="shared" si="55"/>
        <v>1.0732268108289416</v>
      </c>
      <c r="AH218" s="47">
        <f t="shared" si="55"/>
        <v>1.0969026199062231</v>
      </c>
      <c r="AI218" s="47">
        <f t="shared" si="55"/>
        <v>1.1202425224671124</v>
      </c>
      <c r="AJ218" s="47">
        <f t="shared" si="55"/>
        <v>1.1432626298183159</v>
      </c>
      <c r="AK218" s="47">
        <f t="shared" si="55"/>
        <v>1.1659777722338567</v>
      </c>
      <c r="AL218" s="47">
        <f t="shared" si="55"/>
        <v>1.1884016386440022</v>
      </c>
      <c r="AM218" s="47">
        <f t="shared" si="55"/>
        <v>1.2105468972219857</v>
      </c>
      <c r="AN218" s="47">
        <f t="shared" si="55"/>
        <v>1.2324252999781389</v>
      </c>
      <c r="AO218" s="47">
        <f t="shared" si="55"/>
        <v>1.2540477738885889</v>
      </c>
      <c r="AP218" s="47">
        <f t="shared" si="55"/>
        <v>1.2754245006257907</v>
      </c>
      <c r="AQ218" s="47">
        <f t="shared" si="55"/>
        <v>1.296564986592367</v>
      </c>
      <c r="AR218" s="47">
        <f t="shared" si="55"/>
        <v>1.3174781246667857</v>
      </c>
      <c r="AS218" s="47">
        <f t="shared" si="55"/>
        <v>1.3381722488332379</v>
      </c>
      <c r="AT218" s="47">
        <f t="shared" si="55"/>
        <v>1.3586551826765381</v>
      </c>
    </row>
    <row r="226" spans="1:2" ht="14.05" customHeight="1" x14ac:dyDescent="0.5">
      <c r="A226" s="3" t="s">
        <v>74</v>
      </c>
      <c r="B226" s="45">
        <v>300</v>
      </c>
    </row>
    <row r="245" spans="1:5" ht="14.05" customHeight="1" x14ac:dyDescent="0.5">
      <c r="A245" s="30" t="s">
        <v>319</v>
      </c>
    </row>
    <row r="246" spans="1:5" ht="14.05" customHeight="1" x14ac:dyDescent="0.5">
      <c r="A246" s="3" t="str" cm="1">
        <f t="array" ref="A246:A251">Programme_type</f>
        <v>Degree</v>
      </c>
      <c r="B246" s="48">
        <v>1</v>
      </c>
    </row>
    <row r="247" spans="1:5" ht="14.05" customHeight="1" x14ac:dyDescent="0.5">
      <c r="A247" s="3" t="str">
        <v>Diploma</v>
      </c>
      <c r="B247" s="48">
        <v>1</v>
      </c>
      <c r="C247" s="3" t="s">
        <v>219</v>
      </c>
    </row>
    <row r="248" spans="1:5" ht="14.05" customHeight="1" x14ac:dyDescent="0.5">
      <c r="A248" s="3" t="str">
        <v>Certificate</v>
      </c>
      <c r="B248" s="48">
        <v>1</v>
      </c>
    </row>
    <row r="249" spans="1:5" ht="14.05" customHeight="1" x14ac:dyDescent="0.5">
      <c r="A249" s="3" t="str">
        <v>Apprenticeship</v>
      </c>
      <c r="B249" s="48">
        <v>1</v>
      </c>
    </row>
    <row r="250" spans="1:5" ht="14.05" customHeight="1" x14ac:dyDescent="0.5">
      <c r="A250" s="3" t="str">
        <v>Micro-credential</v>
      </c>
      <c r="B250" s="48">
        <v>1</v>
      </c>
    </row>
    <row r="251" spans="1:5" ht="14.05" customHeight="1" x14ac:dyDescent="0.5">
      <c r="A251" s="3" t="str">
        <v>Non-formal</v>
      </c>
      <c r="B251" s="46">
        <v>0.5</v>
      </c>
    </row>
    <row r="254" spans="1:5" ht="24" customHeight="1" x14ac:dyDescent="0.5">
      <c r="A254" s="30" t="s">
        <v>79</v>
      </c>
      <c r="B254" s="146" t="str" cm="1">
        <f t="array" ref="B254:E254">TRANSPOSE(roles)</f>
        <v>Strategic manager</v>
      </c>
      <c r="C254" s="146" t="str">
        <v>Manager</v>
      </c>
      <c r="D254" s="146" t="str">
        <v>Semi-autonomous</v>
      </c>
      <c r="E254" s="146" t="str">
        <v>Managed</v>
      </c>
    </row>
    <row r="255" spans="1:5" ht="14.05" customHeight="1" x14ac:dyDescent="0.5">
      <c r="A255" s="3" t="str" cm="1">
        <f t="array" ref="A255:A265">nzqf_levels</f>
        <v>L10</v>
      </c>
      <c r="B255" s="48">
        <v>1</v>
      </c>
      <c r="C255" s="48">
        <v>1.1000000000000001</v>
      </c>
      <c r="D255" s="48">
        <v>1.2</v>
      </c>
      <c r="E255" s="48">
        <v>1.3</v>
      </c>
    </row>
    <row r="256" spans="1:5" ht="14.05" customHeight="1" x14ac:dyDescent="0.5">
      <c r="A256" s="3" t="str">
        <v>L9</v>
      </c>
      <c r="B256" s="48">
        <v>1</v>
      </c>
      <c r="C256" s="48">
        <v>1.1000000000000001</v>
      </c>
      <c r="D256" s="48">
        <v>1.2</v>
      </c>
      <c r="E256" s="48">
        <v>1.3</v>
      </c>
    </row>
    <row r="257" spans="1:6" ht="14.05" customHeight="1" x14ac:dyDescent="0.5">
      <c r="A257" s="3" t="str">
        <v>L8</v>
      </c>
      <c r="B257" s="48">
        <v>1</v>
      </c>
      <c r="C257" s="48">
        <v>1.1000000000000001</v>
      </c>
      <c r="D257" s="48">
        <v>1.2</v>
      </c>
      <c r="E257" s="48">
        <v>1.3</v>
      </c>
    </row>
    <row r="258" spans="1:6" ht="14.05" customHeight="1" x14ac:dyDescent="0.5">
      <c r="A258" s="3" t="str">
        <v>L7</v>
      </c>
      <c r="B258" s="250">
        <v>1</v>
      </c>
      <c r="C258" s="48">
        <v>1.1000000000000001</v>
      </c>
      <c r="D258" s="48">
        <v>1.2</v>
      </c>
      <c r="E258" s="48">
        <v>1.3</v>
      </c>
      <c r="F258" s="3" t="s">
        <v>219</v>
      </c>
    </row>
    <row r="259" spans="1:6" ht="14.05" customHeight="1" x14ac:dyDescent="0.5">
      <c r="A259" s="3" t="str">
        <v>L6</v>
      </c>
      <c r="B259" s="48">
        <v>0.8</v>
      </c>
      <c r="C259" s="49">
        <v>1.05</v>
      </c>
      <c r="D259" s="48">
        <v>1.1000000000000001</v>
      </c>
      <c r="E259" s="48">
        <v>1.2</v>
      </c>
    </row>
    <row r="260" spans="1:6" ht="14.05" customHeight="1" x14ac:dyDescent="0.5">
      <c r="A260" s="3" t="str">
        <v>L5</v>
      </c>
      <c r="B260" s="48">
        <v>0.7</v>
      </c>
      <c r="C260" s="250">
        <v>1</v>
      </c>
      <c r="D260" s="49">
        <v>1.05</v>
      </c>
      <c r="E260" s="48">
        <v>1.2</v>
      </c>
    </row>
    <row r="261" spans="1:6" ht="14.05" customHeight="1" x14ac:dyDescent="0.5">
      <c r="A261" s="3" t="str">
        <v>L4</v>
      </c>
      <c r="B261" s="48">
        <v>0.6</v>
      </c>
      <c r="C261" s="48">
        <v>0.8</v>
      </c>
      <c r="D261" s="250">
        <v>1</v>
      </c>
      <c r="E261" s="48">
        <v>1.1000000000000001</v>
      </c>
    </row>
    <row r="262" spans="1:6" ht="14.05" customHeight="1" x14ac:dyDescent="0.5">
      <c r="A262" s="3" t="str">
        <v>L3/4</v>
      </c>
      <c r="B262" s="48">
        <v>0.6</v>
      </c>
      <c r="C262" s="48">
        <v>0.8</v>
      </c>
      <c r="D262" s="250">
        <v>1</v>
      </c>
      <c r="E262" s="48">
        <v>1.1000000000000001</v>
      </c>
    </row>
    <row r="263" spans="1:6" ht="14.05" customHeight="1" x14ac:dyDescent="0.5">
      <c r="A263" s="3" t="str">
        <v>L3</v>
      </c>
      <c r="B263" s="48">
        <v>0.4</v>
      </c>
      <c r="C263" s="48">
        <v>0.6</v>
      </c>
      <c r="D263" s="48">
        <v>0.8</v>
      </c>
      <c r="E263" s="250">
        <v>1</v>
      </c>
    </row>
    <row r="264" spans="1:6" ht="14.05" customHeight="1" x14ac:dyDescent="0.5">
      <c r="A264" s="3" t="str">
        <v>L2</v>
      </c>
      <c r="B264" s="48">
        <v>0.2</v>
      </c>
      <c r="C264" s="48">
        <v>0.4</v>
      </c>
      <c r="D264" s="48">
        <v>0.6</v>
      </c>
      <c r="E264" s="48">
        <v>0.8</v>
      </c>
    </row>
    <row r="265" spans="1:6" ht="14.05" customHeight="1" x14ac:dyDescent="0.5">
      <c r="A265" s="3" t="str">
        <v>L1</v>
      </c>
      <c r="B265" s="48">
        <v>0.1</v>
      </c>
      <c r="C265" s="48">
        <v>0.2</v>
      </c>
      <c r="D265" s="48">
        <v>0.3</v>
      </c>
      <c r="E265" s="48">
        <v>0.6</v>
      </c>
    </row>
    <row r="267" spans="1:6" ht="14.05" customHeight="1" x14ac:dyDescent="0.5">
      <c r="A267" s="30" t="s">
        <v>90</v>
      </c>
    </row>
    <row r="268" spans="1:6" ht="14.05" customHeight="1" x14ac:dyDescent="0.5">
      <c r="A268" s="3" t="str" cm="1">
        <f t="array" ref="A268:A272">delivery_modes</f>
        <v>'Classroom' learning</v>
      </c>
      <c r="B268" s="48">
        <v>1</v>
      </c>
      <c r="C268" s="3" t="s">
        <v>219</v>
      </c>
    </row>
    <row r="269" spans="1:6" ht="14.05" customHeight="1" x14ac:dyDescent="0.5">
      <c r="A269" s="3" t="str">
        <v>Work-based learning</v>
      </c>
      <c r="B269" s="46">
        <v>0.3</v>
      </c>
    </row>
    <row r="270" spans="1:6" ht="14.05" customHeight="1" x14ac:dyDescent="0.5">
      <c r="A270" s="3" t="str">
        <v>One-to-one coaching</v>
      </c>
      <c r="B270" s="48">
        <v>2</v>
      </c>
    </row>
    <row r="271" spans="1:6" ht="14.05" customHeight="1" x14ac:dyDescent="0.5">
      <c r="A271" s="3" t="str">
        <v>Online (synchronous)</v>
      </c>
      <c r="B271" s="46">
        <v>0.6</v>
      </c>
    </row>
    <row r="272" spans="1:6" ht="14.05" customHeight="1" x14ac:dyDescent="0.5">
      <c r="A272" s="3" t="str">
        <v>Self-directed learning</v>
      </c>
      <c r="B272" s="48">
        <v>0.3</v>
      </c>
    </row>
    <row r="275" spans="1:3" ht="14.05" customHeight="1" x14ac:dyDescent="0.5">
      <c r="A275" s="30" t="s">
        <v>239</v>
      </c>
    </row>
    <row r="276" spans="1:3" ht="14.05" customHeight="1" x14ac:dyDescent="0.5">
      <c r="A276" s="3" t="str" cm="1">
        <f t="array" ref="A276:A279">completion_proportions</f>
        <v>Fully complete</v>
      </c>
      <c r="B276" s="48">
        <v>1</v>
      </c>
      <c r="C276" s="3" t="s">
        <v>219</v>
      </c>
    </row>
    <row r="277" spans="1:3" ht="14.05" customHeight="1" x14ac:dyDescent="0.5">
      <c r="A277" s="3" t="str">
        <v>50-99% complete</v>
      </c>
      <c r="B277" s="46">
        <v>0.5</v>
      </c>
    </row>
    <row r="278" spans="1:3" ht="14.05" customHeight="1" x14ac:dyDescent="0.5">
      <c r="A278" s="3" t="str">
        <v>20-49% complete</v>
      </c>
      <c r="B278" s="48">
        <v>0.2</v>
      </c>
    </row>
    <row r="279" spans="1:3" ht="14.05" customHeight="1" x14ac:dyDescent="0.5">
      <c r="A279" s="3" t="str">
        <v>less than 20%</v>
      </c>
      <c r="B279" s="46">
        <v>0</v>
      </c>
    </row>
    <row r="282" spans="1:3" ht="14.05" customHeight="1" x14ac:dyDescent="0.5">
      <c r="A282" s="30" t="s">
        <v>95</v>
      </c>
    </row>
    <row r="283" spans="1:3" ht="14.05" customHeight="1" x14ac:dyDescent="0.5">
      <c r="A283" s="3" t="str" cm="1">
        <f t="array" ref="A283:A286">delivery_quality</f>
        <v>Excellent</v>
      </c>
      <c r="B283" s="48">
        <v>2</v>
      </c>
    </row>
    <row r="284" spans="1:3" ht="14.05" customHeight="1" x14ac:dyDescent="0.5">
      <c r="A284" s="3" t="str">
        <v>Good</v>
      </c>
      <c r="B284" s="46">
        <v>1.5</v>
      </c>
    </row>
    <row r="285" spans="1:3" ht="14.05" customHeight="1" x14ac:dyDescent="0.5">
      <c r="A285" s="3" t="str">
        <v>Typical</v>
      </c>
      <c r="B285" s="48">
        <v>1</v>
      </c>
    </row>
    <row r="286" spans="1:3" ht="14.05" customHeight="1" x14ac:dyDescent="0.5">
      <c r="A286" s="3" t="str">
        <v>Not acceptable</v>
      </c>
      <c r="B286" s="46">
        <v>0.5</v>
      </c>
    </row>
    <row r="289" spans="1:14" ht="24" customHeight="1" x14ac:dyDescent="0.5">
      <c r="A289" s="30" t="s">
        <v>100</v>
      </c>
    </row>
    <row r="290" spans="1:14" ht="14.05" customHeight="1" x14ac:dyDescent="0.5">
      <c r="A290" s="3" t="str" cm="1">
        <f t="array" ref="A290:A293">roles</f>
        <v>Strategic manager</v>
      </c>
      <c r="B290" s="48">
        <v>1</v>
      </c>
      <c r="C290" s="3" t="s">
        <v>219</v>
      </c>
    </row>
    <row r="291" spans="1:14" ht="14.05" customHeight="1" x14ac:dyDescent="0.5">
      <c r="A291" s="3" t="str">
        <v>Manager</v>
      </c>
      <c r="B291" s="48">
        <v>0.8</v>
      </c>
    </row>
    <row r="292" spans="1:14" ht="14.05" customHeight="1" x14ac:dyDescent="0.5">
      <c r="A292" s="3" t="str">
        <v>Semi-autonomous</v>
      </c>
      <c r="B292" s="48">
        <v>0.7</v>
      </c>
    </row>
    <row r="293" spans="1:14" ht="14.05" customHeight="1" x14ac:dyDescent="0.5">
      <c r="A293" s="3" t="str">
        <v>Managed</v>
      </c>
      <c r="B293" s="48">
        <v>0.6</v>
      </c>
    </row>
    <row r="295" spans="1:14" ht="14.05" customHeight="1" x14ac:dyDescent="0.5">
      <c r="A295" s="30" t="s">
        <v>325</v>
      </c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</row>
    <row r="296" spans="1:14" ht="14.05" customHeight="1" x14ac:dyDescent="0.5">
      <c r="A296" s="3" t="s">
        <v>351</v>
      </c>
      <c r="B296" s="49">
        <v>1</v>
      </c>
      <c r="C296" s="3" t="s">
        <v>219</v>
      </c>
      <c r="D296" s="30"/>
      <c r="E296" s="30"/>
      <c r="F296" s="30"/>
      <c r="G296" s="30"/>
      <c r="H296" s="30"/>
      <c r="I296" s="30"/>
      <c r="J296" s="30"/>
      <c r="K296" s="30"/>
      <c r="L296" s="30"/>
    </row>
    <row r="297" spans="1:14" ht="14.05" customHeight="1" x14ac:dyDescent="0.5">
      <c r="A297" s="3" t="s">
        <v>352</v>
      </c>
      <c r="B297" s="49">
        <v>0.5</v>
      </c>
      <c r="D297" s="30"/>
      <c r="E297" s="30"/>
      <c r="F297" s="30"/>
      <c r="G297" s="30"/>
      <c r="H297" s="30"/>
      <c r="I297" s="30"/>
      <c r="J297" s="30"/>
      <c r="K297" s="30"/>
      <c r="L297" s="30"/>
    </row>
    <row r="298" spans="1:14" ht="14.05" customHeight="1" x14ac:dyDescent="0.5">
      <c r="A298" s="3" t="s">
        <v>353</v>
      </c>
      <c r="B298" s="49">
        <v>0.8</v>
      </c>
      <c r="D298" s="30"/>
      <c r="E298" s="30"/>
      <c r="F298" s="30"/>
      <c r="G298" s="30"/>
      <c r="H298" s="30"/>
      <c r="I298" s="30"/>
      <c r="J298" s="30"/>
      <c r="K298" s="30"/>
      <c r="L298" s="30"/>
    </row>
    <row r="299" spans="1:14" ht="14.05" customHeight="1" x14ac:dyDescent="0.5">
      <c r="A299" s="3" t="s">
        <v>355</v>
      </c>
      <c r="B299" s="49">
        <v>0.1</v>
      </c>
      <c r="C299" s="30"/>
      <c r="D299" s="30"/>
      <c r="E299" s="30"/>
      <c r="F299" s="30"/>
      <c r="G299" s="30"/>
      <c r="H299" s="30"/>
      <c r="I299" s="30"/>
      <c r="J299" s="30"/>
      <c r="K299" s="30"/>
      <c r="L299" s="30"/>
    </row>
    <row r="300" spans="1:14" ht="14.05" customHeight="1" x14ac:dyDescent="0.5">
      <c r="A300" s="3" t="s">
        <v>354</v>
      </c>
      <c r="B300" s="49">
        <v>0.05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</row>
    <row r="301" spans="1:14" ht="14.05" customHeight="1" x14ac:dyDescent="0.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</row>
    <row r="302" spans="1:14" ht="14.05" customHeight="1" x14ac:dyDescent="0.5">
      <c r="B302" s="146" t="str" cm="1">
        <f t="array" ref="B302:L302">TRANSPOSE(nzqf_levels)</f>
        <v>L10</v>
      </c>
      <c r="C302" s="146" t="str">
        <v>L9</v>
      </c>
      <c r="D302" s="146" t="str">
        <v>L8</v>
      </c>
      <c r="E302" s="146" t="str">
        <v>L7</v>
      </c>
      <c r="F302" s="146" t="str">
        <v>L6</v>
      </c>
      <c r="G302" s="146" t="str">
        <v>L5</v>
      </c>
      <c r="H302" s="146" t="str">
        <v>L4</v>
      </c>
      <c r="I302" s="146" t="str">
        <v>L3/4</v>
      </c>
      <c r="J302" s="146" t="str">
        <v>L3</v>
      </c>
      <c r="K302" s="146" t="str">
        <v>L2</v>
      </c>
      <c r="L302" s="146" t="str">
        <v>L1</v>
      </c>
      <c r="N302" s="148" t="str">
        <f>'Training programme data entry'!C12</f>
        <v>L3</v>
      </c>
    </row>
    <row r="303" spans="1:14" ht="14.05" customHeight="1" x14ac:dyDescent="0.5">
      <c r="A303" s="3" t="str" cm="1">
        <f t="array" ref="A303:A323">prior_training</f>
        <v>No prior tertiary qualification</v>
      </c>
      <c r="B303" s="147">
        <f>B296</f>
        <v>1</v>
      </c>
      <c r="C303" s="147">
        <f>B303</f>
        <v>1</v>
      </c>
      <c r="D303" s="147">
        <f t="shared" ref="D303:H303" si="56">C303</f>
        <v>1</v>
      </c>
      <c r="E303" s="147">
        <f t="shared" si="56"/>
        <v>1</v>
      </c>
      <c r="F303" s="147">
        <f t="shared" si="56"/>
        <v>1</v>
      </c>
      <c r="G303" s="147">
        <f t="shared" si="56"/>
        <v>1</v>
      </c>
      <c r="H303" s="147">
        <f t="shared" si="56"/>
        <v>1</v>
      </c>
      <c r="I303" s="147">
        <f>H303</f>
        <v>1</v>
      </c>
      <c r="J303" s="147">
        <f>H303</f>
        <v>1</v>
      </c>
      <c r="K303" s="147">
        <f>J303</f>
        <v>1</v>
      </c>
      <c r="L303" s="147">
        <f>K303</f>
        <v>1</v>
      </c>
      <c r="N303" s="50" cm="1">
        <f t="array" ref="N303">_xlfn.XLOOKUP($N$302,_xlfn.ANCHORARRAY($B$302),B303:L303)</f>
        <v>1</v>
      </c>
    </row>
    <row r="304" spans="1:14" ht="14.05" customHeight="1" x14ac:dyDescent="0.5">
      <c r="A304" s="3" t="str">
        <v>Industry relevant - L10</v>
      </c>
      <c r="B304" s="147">
        <f>B297</f>
        <v>0.5</v>
      </c>
      <c r="C304" s="145">
        <f>MAX(B304-$B$300,0)</f>
        <v>0.45</v>
      </c>
      <c r="D304" s="145">
        <f t="shared" ref="D304:H308" si="57">MAX(C304-$B$300,0)</f>
        <v>0.4</v>
      </c>
      <c r="E304" s="145">
        <f t="shared" si="57"/>
        <v>0.35000000000000003</v>
      </c>
      <c r="F304" s="145">
        <f t="shared" si="57"/>
        <v>0.30000000000000004</v>
      </c>
      <c r="G304" s="145">
        <f t="shared" si="57"/>
        <v>0.25000000000000006</v>
      </c>
      <c r="H304" s="145">
        <f t="shared" si="57"/>
        <v>0.20000000000000007</v>
      </c>
      <c r="I304" s="145">
        <f t="shared" ref="I304:I323" si="58">H304</f>
        <v>0.20000000000000007</v>
      </c>
      <c r="J304" s="145">
        <f t="shared" ref="J304:J310" si="59">MAX(H304-$B$300,0)</f>
        <v>0.15000000000000008</v>
      </c>
      <c r="K304" s="145">
        <f t="shared" ref="K304:L311" si="60">MAX(J304-$B$300,0)</f>
        <v>0.10000000000000007</v>
      </c>
      <c r="L304" s="145">
        <f t="shared" si="60"/>
        <v>5.0000000000000072E-2</v>
      </c>
      <c r="N304" s="50" cm="1">
        <f t="array" ref="N304">_xlfn.XLOOKUP($N$302,_xlfn.ANCHORARRAY($B$302),B304:L304)</f>
        <v>0.15000000000000008</v>
      </c>
    </row>
    <row r="305" spans="1:14" ht="14.05" customHeight="1" x14ac:dyDescent="0.5">
      <c r="A305" s="3" t="str">
        <v>Industry relevant - L9</v>
      </c>
      <c r="B305" s="145">
        <f>MIN(B304+$B$299,1)</f>
        <v>0.6</v>
      </c>
      <c r="C305" s="147">
        <v>0.5</v>
      </c>
      <c r="D305" s="145">
        <f>MAX(C305-$B$300,0)</f>
        <v>0.45</v>
      </c>
      <c r="E305" s="145">
        <f t="shared" si="57"/>
        <v>0.4</v>
      </c>
      <c r="F305" s="145">
        <f t="shared" si="57"/>
        <v>0.35000000000000003</v>
      </c>
      <c r="G305" s="145">
        <f t="shared" si="57"/>
        <v>0.30000000000000004</v>
      </c>
      <c r="H305" s="145">
        <f t="shared" si="57"/>
        <v>0.25000000000000006</v>
      </c>
      <c r="I305" s="145">
        <f t="shared" si="58"/>
        <v>0.25000000000000006</v>
      </c>
      <c r="J305" s="145">
        <f t="shared" si="59"/>
        <v>0.20000000000000007</v>
      </c>
      <c r="K305" s="145">
        <f t="shared" si="60"/>
        <v>0.15000000000000008</v>
      </c>
      <c r="L305" s="145">
        <f t="shared" si="60"/>
        <v>0.10000000000000007</v>
      </c>
      <c r="N305" s="50" cm="1">
        <f t="array" ref="N305">_xlfn.XLOOKUP($N$302,_xlfn.ANCHORARRAY($B$302),B305:L305)</f>
        <v>0.20000000000000007</v>
      </c>
    </row>
    <row r="306" spans="1:14" ht="14.05" customHeight="1" x14ac:dyDescent="0.5">
      <c r="A306" s="3" t="str">
        <v>Industry relevant - L8</v>
      </c>
      <c r="B306" s="145">
        <f t="shared" ref="B306:B313" si="61">MIN(B305+$B$299,1)</f>
        <v>0.7</v>
      </c>
      <c r="C306" s="145">
        <f>MIN(C305+$B$299,1)</f>
        <v>0.6</v>
      </c>
      <c r="D306" s="147">
        <v>0.5</v>
      </c>
      <c r="E306" s="145">
        <f>MAX(D306-$B$300,0)</f>
        <v>0.45</v>
      </c>
      <c r="F306" s="145">
        <f t="shared" si="57"/>
        <v>0.4</v>
      </c>
      <c r="G306" s="145">
        <f t="shared" si="57"/>
        <v>0.35000000000000003</v>
      </c>
      <c r="H306" s="145">
        <f t="shared" si="57"/>
        <v>0.30000000000000004</v>
      </c>
      <c r="I306" s="145">
        <f t="shared" si="58"/>
        <v>0.30000000000000004</v>
      </c>
      <c r="J306" s="145">
        <f t="shared" si="59"/>
        <v>0.25000000000000006</v>
      </c>
      <c r="K306" s="145">
        <f t="shared" si="60"/>
        <v>0.20000000000000007</v>
      </c>
      <c r="L306" s="145">
        <f t="shared" si="60"/>
        <v>0.15000000000000008</v>
      </c>
      <c r="N306" s="50" cm="1">
        <f t="array" ref="N306">_xlfn.XLOOKUP($N$302,_xlfn.ANCHORARRAY($B$302),B306:L306)</f>
        <v>0.25000000000000006</v>
      </c>
    </row>
    <row r="307" spans="1:14" ht="14.05" customHeight="1" x14ac:dyDescent="0.5">
      <c r="A307" s="3" t="str">
        <v>Industry relevant - L7</v>
      </c>
      <c r="B307" s="145">
        <f t="shared" si="61"/>
        <v>0.79999999999999993</v>
      </c>
      <c r="C307" s="145">
        <f t="shared" ref="C307:C313" si="62">MIN(C306+$B$299,1)</f>
        <v>0.7</v>
      </c>
      <c r="D307" s="145">
        <f>MIN(D306+$B$299,1)</f>
        <v>0.6</v>
      </c>
      <c r="E307" s="147">
        <v>0.5</v>
      </c>
      <c r="F307" s="145">
        <f>MAX(E307-$B$300,0)</f>
        <v>0.45</v>
      </c>
      <c r="G307" s="145">
        <f t="shared" si="57"/>
        <v>0.4</v>
      </c>
      <c r="H307" s="145">
        <f t="shared" si="57"/>
        <v>0.35000000000000003</v>
      </c>
      <c r="I307" s="145">
        <f t="shared" si="58"/>
        <v>0.35000000000000003</v>
      </c>
      <c r="J307" s="145">
        <f t="shared" si="59"/>
        <v>0.30000000000000004</v>
      </c>
      <c r="K307" s="145">
        <f t="shared" si="60"/>
        <v>0.25000000000000006</v>
      </c>
      <c r="L307" s="145">
        <f t="shared" si="60"/>
        <v>0.20000000000000007</v>
      </c>
      <c r="N307" s="50" cm="1">
        <f t="array" ref="N307">_xlfn.XLOOKUP($N$302,_xlfn.ANCHORARRAY($B$302),B307:L307)</f>
        <v>0.30000000000000004</v>
      </c>
    </row>
    <row r="308" spans="1:14" ht="14.05" customHeight="1" x14ac:dyDescent="0.5">
      <c r="A308" s="3" t="str">
        <v>Industry relevant - L6</v>
      </c>
      <c r="B308" s="145">
        <f t="shared" si="61"/>
        <v>0.89999999999999991</v>
      </c>
      <c r="C308" s="145">
        <f t="shared" si="62"/>
        <v>0.79999999999999993</v>
      </c>
      <c r="D308" s="145">
        <f t="shared" ref="D308:D313" si="63">MIN(D307+$B$299,1)</f>
        <v>0.7</v>
      </c>
      <c r="E308" s="145">
        <f>MIN(E307+$B$299,1)</f>
        <v>0.6</v>
      </c>
      <c r="F308" s="147">
        <v>0.5</v>
      </c>
      <c r="G308" s="145">
        <f>MAX(F308-$B$300,0)</f>
        <v>0.45</v>
      </c>
      <c r="H308" s="145">
        <f t="shared" si="57"/>
        <v>0.4</v>
      </c>
      <c r="I308" s="145">
        <f t="shared" si="58"/>
        <v>0.4</v>
      </c>
      <c r="J308" s="145">
        <f t="shared" si="59"/>
        <v>0.35000000000000003</v>
      </c>
      <c r="K308" s="145">
        <f t="shared" si="60"/>
        <v>0.30000000000000004</v>
      </c>
      <c r="L308" s="145">
        <f t="shared" si="60"/>
        <v>0.25000000000000006</v>
      </c>
      <c r="N308" s="50" cm="1">
        <f t="array" ref="N308">_xlfn.XLOOKUP($N$302,_xlfn.ANCHORARRAY($B$302),B308:L308)</f>
        <v>0.35000000000000003</v>
      </c>
    </row>
    <row r="309" spans="1:14" ht="14.05" customHeight="1" x14ac:dyDescent="0.5">
      <c r="A309" s="3" t="str">
        <v>Industry relevant - L5</v>
      </c>
      <c r="B309" s="145">
        <f t="shared" si="61"/>
        <v>0.99999999999999989</v>
      </c>
      <c r="C309" s="145">
        <f t="shared" si="62"/>
        <v>0.89999999999999991</v>
      </c>
      <c r="D309" s="145">
        <f t="shared" si="63"/>
        <v>0.79999999999999993</v>
      </c>
      <c r="E309" s="145">
        <f t="shared" ref="E309:E313" si="64">MIN(E308+$B$299,1)</f>
        <v>0.7</v>
      </c>
      <c r="F309" s="145">
        <f>MIN(F308+$B$299,1)</f>
        <v>0.6</v>
      </c>
      <c r="G309" s="147">
        <v>0.5</v>
      </c>
      <c r="H309" s="145">
        <f>MAX(G309-$B$300,0)</f>
        <v>0.45</v>
      </c>
      <c r="I309" s="145">
        <f t="shared" si="58"/>
        <v>0.45</v>
      </c>
      <c r="J309" s="145">
        <f t="shared" si="59"/>
        <v>0.4</v>
      </c>
      <c r="K309" s="145">
        <f t="shared" si="60"/>
        <v>0.35000000000000003</v>
      </c>
      <c r="L309" s="145">
        <f t="shared" si="60"/>
        <v>0.30000000000000004</v>
      </c>
      <c r="N309" s="50" cm="1">
        <f t="array" ref="N309">_xlfn.XLOOKUP($N$302,_xlfn.ANCHORARRAY($B$302),B309:L309)</f>
        <v>0.4</v>
      </c>
    </row>
    <row r="310" spans="1:14" ht="14.05" customHeight="1" x14ac:dyDescent="0.5">
      <c r="A310" s="3" t="str">
        <v>Industry relevant - L4</v>
      </c>
      <c r="B310" s="145">
        <f t="shared" si="61"/>
        <v>1</v>
      </c>
      <c r="C310" s="145">
        <f t="shared" si="62"/>
        <v>0.99999999999999989</v>
      </c>
      <c r="D310" s="145">
        <f t="shared" si="63"/>
        <v>0.89999999999999991</v>
      </c>
      <c r="E310" s="145">
        <f t="shared" si="64"/>
        <v>0.79999999999999993</v>
      </c>
      <c r="F310" s="145">
        <f t="shared" ref="F310:F313" si="65">MIN(F309+$B$299,1)</f>
        <v>0.7</v>
      </c>
      <c r="G310" s="145">
        <f>MIN(G309+$B$299,1)</f>
        <v>0.6</v>
      </c>
      <c r="H310" s="147">
        <v>0.5</v>
      </c>
      <c r="I310" s="147">
        <f t="shared" si="58"/>
        <v>0.5</v>
      </c>
      <c r="J310" s="145">
        <f t="shared" si="59"/>
        <v>0.45</v>
      </c>
      <c r="K310" s="145">
        <f t="shared" si="60"/>
        <v>0.4</v>
      </c>
      <c r="L310" s="145">
        <f t="shared" si="60"/>
        <v>0.35000000000000003</v>
      </c>
      <c r="N310" s="50" cm="1">
        <f t="array" ref="N310">_xlfn.XLOOKUP($N$302,_xlfn.ANCHORARRAY($B$302),B310:L310)</f>
        <v>0.45</v>
      </c>
    </row>
    <row r="311" spans="1:14" ht="14.05" customHeight="1" x14ac:dyDescent="0.5">
      <c r="A311" s="3" t="str">
        <v>Industry relevant - L3</v>
      </c>
      <c r="B311" s="145">
        <f t="shared" si="61"/>
        <v>1</v>
      </c>
      <c r="C311" s="145">
        <f t="shared" si="62"/>
        <v>1</v>
      </c>
      <c r="D311" s="145">
        <f t="shared" si="63"/>
        <v>0.99999999999999989</v>
      </c>
      <c r="E311" s="145">
        <f t="shared" si="64"/>
        <v>0.89999999999999991</v>
      </c>
      <c r="F311" s="145">
        <f t="shared" si="65"/>
        <v>0.79999999999999993</v>
      </c>
      <c r="G311" s="145">
        <f t="shared" ref="G311:G313" si="66">MIN(G310+$B$299,1)</f>
        <v>0.7</v>
      </c>
      <c r="H311" s="145">
        <f>MIN(H310+$B$299,1)</f>
        <v>0.6</v>
      </c>
      <c r="I311" s="145">
        <f t="shared" si="58"/>
        <v>0.6</v>
      </c>
      <c r="J311" s="147">
        <v>0.5</v>
      </c>
      <c r="K311" s="145">
        <f t="shared" si="60"/>
        <v>0.45</v>
      </c>
      <c r="L311" s="145">
        <f t="shared" si="60"/>
        <v>0.4</v>
      </c>
      <c r="N311" s="50" cm="1">
        <f t="array" ref="N311">_xlfn.XLOOKUP($N$302,_xlfn.ANCHORARRAY($B$302),B311:L311)</f>
        <v>0.5</v>
      </c>
    </row>
    <row r="312" spans="1:14" ht="14.05" customHeight="1" x14ac:dyDescent="0.5">
      <c r="A312" s="3" t="str">
        <v>Industry relevant - L2</v>
      </c>
      <c r="B312" s="145">
        <f t="shared" si="61"/>
        <v>1</v>
      </c>
      <c r="C312" s="145">
        <f t="shared" si="62"/>
        <v>1</v>
      </c>
      <c r="D312" s="145">
        <f t="shared" si="63"/>
        <v>1</v>
      </c>
      <c r="E312" s="145">
        <f t="shared" si="64"/>
        <v>0.99999999999999989</v>
      </c>
      <c r="F312" s="145">
        <f t="shared" si="65"/>
        <v>0.89999999999999991</v>
      </c>
      <c r="G312" s="145">
        <f t="shared" si="66"/>
        <v>0.79999999999999993</v>
      </c>
      <c r="H312" s="145">
        <f t="shared" ref="H312:H313" si="67">MIN(H311+$B$299,1)</f>
        <v>0.7</v>
      </c>
      <c r="I312" s="145">
        <f t="shared" si="58"/>
        <v>0.7</v>
      </c>
      <c r="J312" s="145">
        <f>MIN(J311+$B$299,1)</f>
        <v>0.6</v>
      </c>
      <c r="K312" s="147">
        <v>0.5</v>
      </c>
      <c r="L312" s="145">
        <f>MAX(K312-$B$300,0)</f>
        <v>0.45</v>
      </c>
      <c r="N312" s="50" cm="1">
        <f t="array" ref="N312">_xlfn.XLOOKUP($N$302,_xlfn.ANCHORARRAY($B$302),B312:L312)</f>
        <v>0.6</v>
      </c>
    </row>
    <row r="313" spans="1:14" ht="14.05" customHeight="1" x14ac:dyDescent="0.5">
      <c r="A313" s="3" t="str">
        <v>Industry relevant - L1</v>
      </c>
      <c r="B313" s="145">
        <f t="shared" si="61"/>
        <v>1</v>
      </c>
      <c r="C313" s="145">
        <f t="shared" si="62"/>
        <v>1</v>
      </c>
      <c r="D313" s="145">
        <f t="shared" si="63"/>
        <v>1</v>
      </c>
      <c r="E313" s="145">
        <f t="shared" si="64"/>
        <v>1</v>
      </c>
      <c r="F313" s="145">
        <f t="shared" si="65"/>
        <v>0.99999999999999989</v>
      </c>
      <c r="G313" s="145">
        <f t="shared" si="66"/>
        <v>0.89999999999999991</v>
      </c>
      <c r="H313" s="145">
        <f t="shared" si="67"/>
        <v>0.79999999999999993</v>
      </c>
      <c r="I313" s="145">
        <f t="shared" si="58"/>
        <v>0.79999999999999993</v>
      </c>
      <c r="J313" s="145">
        <f>MIN(J312+$B$299,1)</f>
        <v>0.7</v>
      </c>
      <c r="K313" s="145">
        <f>MIN(K312+$B$299,1)</f>
        <v>0.6</v>
      </c>
      <c r="L313" s="147">
        <v>0.5</v>
      </c>
      <c r="N313" s="50" cm="1">
        <f t="array" ref="N313">_xlfn.XLOOKUP($N$302,_xlfn.ANCHORARRAY($B$302),B313:L313)</f>
        <v>0.7</v>
      </c>
    </row>
    <row r="314" spans="1:14" ht="14.05" customHeight="1" x14ac:dyDescent="0.5">
      <c r="A314" s="3" t="str">
        <v>Other - L10</v>
      </c>
      <c r="B314" s="147">
        <f>B298</f>
        <v>0.8</v>
      </c>
      <c r="C314" s="145">
        <f>MAX(B314-$B$300,0)</f>
        <v>0.75</v>
      </c>
      <c r="D314" s="145">
        <f t="shared" ref="D314:H318" si="68">MAX(C314-$B$300,0)</f>
        <v>0.7</v>
      </c>
      <c r="E314" s="145">
        <f t="shared" si="68"/>
        <v>0.64999999999999991</v>
      </c>
      <c r="F314" s="145">
        <f t="shared" si="68"/>
        <v>0.59999999999999987</v>
      </c>
      <c r="G314" s="145">
        <f t="shared" si="68"/>
        <v>0.54999999999999982</v>
      </c>
      <c r="H314" s="145">
        <f t="shared" si="68"/>
        <v>0.49999999999999983</v>
      </c>
      <c r="I314" s="145">
        <f t="shared" si="58"/>
        <v>0.49999999999999983</v>
      </c>
      <c r="J314" s="145">
        <f t="shared" ref="J314:J320" si="69">MAX(H314-$B$300,0)</f>
        <v>0.44999999999999984</v>
      </c>
      <c r="K314" s="145">
        <f t="shared" ref="K314:L321" si="70">MAX(J314-$B$300,0)</f>
        <v>0.39999999999999986</v>
      </c>
      <c r="L314" s="145">
        <f t="shared" si="70"/>
        <v>0.34999999999999987</v>
      </c>
      <c r="N314" s="50" cm="1">
        <f t="array" ref="N314">_xlfn.XLOOKUP($N$302,_xlfn.ANCHORARRAY($B$302),B314:L314)</f>
        <v>0.44999999999999984</v>
      </c>
    </row>
    <row r="315" spans="1:14" ht="14.05" customHeight="1" x14ac:dyDescent="0.5">
      <c r="A315" s="3" t="str">
        <v>Other - L9</v>
      </c>
      <c r="B315" s="145">
        <f>MIN(B314+$B$299,1)</f>
        <v>0.9</v>
      </c>
      <c r="C315" s="147">
        <f>B314</f>
        <v>0.8</v>
      </c>
      <c r="D315" s="145">
        <f>MAX(C315-$B$300,0)</f>
        <v>0.75</v>
      </c>
      <c r="E315" s="145">
        <f t="shared" si="68"/>
        <v>0.7</v>
      </c>
      <c r="F315" s="145">
        <f t="shared" si="68"/>
        <v>0.64999999999999991</v>
      </c>
      <c r="G315" s="145">
        <f t="shared" si="68"/>
        <v>0.59999999999999987</v>
      </c>
      <c r="H315" s="145">
        <f t="shared" si="68"/>
        <v>0.54999999999999982</v>
      </c>
      <c r="I315" s="145">
        <f t="shared" si="58"/>
        <v>0.54999999999999982</v>
      </c>
      <c r="J315" s="145">
        <f t="shared" si="69"/>
        <v>0.49999999999999983</v>
      </c>
      <c r="K315" s="145">
        <f t="shared" si="70"/>
        <v>0.44999999999999984</v>
      </c>
      <c r="L315" s="145">
        <f t="shared" si="70"/>
        <v>0.39999999999999986</v>
      </c>
      <c r="N315" s="50" cm="1">
        <f t="array" ref="N315">_xlfn.XLOOKUP($N$302,_xlfn.ANCHORARRAY($B$302),B315:L315)</f>
        <v>0.49999999999999983</v>
      </c>
    </row>
    <row r="316" spans="1:14" ht="14.05" customHeight="1" x14ac:dyDescent="0.5">
      <c r="A316" s="3" t="str">
        <v>Other - L8</v>
      </c>
      <c r="B316" s="145">
        <f t="shared" ref="B316:H323" si="71">MIN(B315+$B$299,1)</f>
        <v>1</v>
      </c>
      <c r="C316" s="145">
        <f>MIN(C315+$B$299,1)</f>
        <v>0.9</v>
      </c>
      <c r="D316" s="147">
        <f>C315</f>
        <v>0.8</v>
      </c>
      <c r="E316" s="145">
        <f>MAX(D316-$B$300,0)</f>
        <v>0.75</v>
      </c>
      <c r="F316" s="145">
        <f t="shared" si="68"/>
        <v>0.7</v>
      </c>
      <c r="G316" s="145">
        <f t="shared" si="68"/>
        <v>0.64999999999999991</v>
      </c>
      <c r="H316" s="145">
        <f t="shared" si="68"/>
        <v>0.59999999999999987</v>
      </c>
      <c r="I316" s="145">
        <f t="shared" si="58"/>
        <v>0.59999999999999987</v>
      </c>
      <c r="J316" s="145">
        <f t="shared" si="69"/>
        <v>0.54999999999999982</v>
      </c>
      <c r="K316" s="145">
        <f t="shared" si="70"/>
        <v>0.49999999999999983</v>
      </c>
      <c r="L316" s="145">
        <f t="shared" si="70"/>
        <v>0.44999999999999984</v>
      </c>
      <c r="N316" s="50" cm="1">
        <f t="array" ref="N316">_xlfn.XLOOKUP($N$302,_xlfn.ANCHORARRAY($B$302),B316:L316)</f>
        <v>0.54999999999999982</v>
      </c>
    </row>
    <row r="317" spans="1:14" ht="14.05" customHeight="1" x14ac:dyDescent="0.5">
      <c r="A317" s="3" t="str">
        <v>Other - L7</v>
      </c>
      <c r="B317" s="145">
        <f t="shared" si="71"/>
        <v>1</v>
      </c>
      <c r="C317" s="145">
        <f t="shared" si="71"/>
        <v>1</v>
      </c>
      <c r="D317" s="145">
        <f>MIN(D316+$B$299,1)</f>
        <v>0.9</v>
      </c>
      <c r="E317" s="147">
        <f>D316</f>
        <v>0.8</v>
      </c>
      <c r="F317" s="145">
        <f>MAX(E317-$B$300,0)</f>
        <v>0.75</v>
      </c>
      <c r="G317" s="145">
        <f t="shared" si="68"/>
        <v>0.7</v>
      </c>
      <c r="H317" s="145">
        <f t="shared" si="68"/>
        <v>0.64999999999999991</v>
      </c>
      <c r="I317" s="145">
        <f t="shared" si="58"/>
        <v>0.64999999999999991</v>
      </c>
      <c r="J317" s="145">
        <f t="shared" si="69"/>
        <v>0.59999999999999987</v>
      </c>
      <c r="K317" s="145">
        <f t="shared" si="70"/>
        <v>0.54999999999999982</v>
      </c>
      <c r="L317" s="145">
        <f t="shared" si="70"/>
        <v>0.49999999999999983</v>
      </c>
      <c r="N317" s="50" cm="1">
        <f t="array" ref="N317">_xlfn.XLOOKUP($N$302,_xlfn.ANCHORARRAY($B$302),B317:L317)</f>
        <v>0.59999999999999987</v>
      </c>
    </row>
    <row r="318" spans="1:14" ht="14.05" customHeight="1" x14ac:dyDescent="0.5">
      <c r="A318" s="3" t="str">
        <v>Other - L6</v>
      </c>
      <c r="B318" s="145">
        <f t="shared" si="71"/>
        <v>1</v>
      </c>
      <c r="C318" s="145">
        <f t="shared" si="71"/>
        <v>1</v>
      </c>
      <c r="D318" s="145">
        <f t="shared" si="71"/>
        <v>1</v>
      </c>
      <c r="E318" s="145">
        <f>MIN(E317+$B$299,1)</f>
        <v>0.9</v>
      </c>
      <c r="F318" s="147">
        <f>E317</f>
        <v>0.8</v>
      </c>
      <c r="G318" s="145">
        <f>MAX(F318-$B$300,0)</f>
        <v>0.75</v>
      </c>
      <c r="H318" s="145">
        <f t="shared" si="68"/>
        <v>0.7</v>
      </c>
      <c r="I318" s="145">
        <f t="shared" si="58"/>
        <v>0.7</v>
      </c>
      <c r="J318" s="145">
        <f t="shared" si="69"/>
        <v>0.64999999999999991</v>
      </c>
      <c r="K318" s="145">
        <f t="shared" si="70"/>
        <v>0.59999999999999987</v>
      </c>
      <c r="L318" s="145">
        <f t="shared" si="70"/>
        <v>0.54999999999999982</v>
      </c>
      <c r="N318" s="50" cm="1">
        <f t="array" ref="N318">_xlfn.XLOOKUP($N$302,_xlfn.ANCHORARRAY($B$302),B318:L318)</f>
        <v>0.64999999999999991</v>
      </c>
    </row>
    <row r="319" spans="1:14" ht="14.05" customHeight="1" x14ac:dyDescent="0.5">
      <c r="A319" s="3" t="str">
        <v>Other - L5</v>
      </c>
      <c r="B319" s="145">
        <f t="shared" si="71"/>
        <v>1</v>
      </c>
      <c r="C319" s="145">
        <f t="shared" si="71"/>
        <v>1</v>
      </c>
      <c r="D319" s="145">
        <f t="shared" si="71"/>
        <v>1</v>
      </c>
      <c r="E319" s="145">
        <f t="shared" si="71"/>
        <v>1</v>
      </c>
      <c r="F319" s="145">
        <f>MIN(F318+$B$299,1)</f>
        <v>0.9</v>
      </c>
      <c r="G319" s="147">
        <f>F318</f>
        <v>0.8</v>
      </c>
      <c r="H319" s="145">
        <f>MAX(G319-$B$300,0)</f>
        <v>0.75</v>
      </c>
      <c r="I319" s="145">
        <f t="shared" si="58"/>
        <v>0.75</v>
      </c>
      <c r="J319" s="145">
        <f t="shared" si="69"/>
        <v>0.7</v>
      </c>
      <c r="K319" s="145">
        <f t="shared" si="70"/>
        <v>0.64999999999999991</v>
      </c>
      <c r="L319" s="145">
        <f t="shared" si="70"/>
        <v>0.59999999999999987</v>
      </c>
      <c r="N319" s="50" cm="1">
        <f t="array" ref="N319">_xlfn.XLOOKUP($N$302,_xlfn.ANCHORARRAY($B$302),B319:L319)</f>
        <v>0.7</v>
      </c>
    </row>
    <row r="320" spans="1:14" ht="14.05" customHeight="1" x14ac:dyDescent="0.5">
      <c r="A320" s="3" t="str">
        <v>Other - L4</v>
      </c>
      <c r="B320" s="145">
        <f t="shared" si="71"/>
        <v>1</v>
      </c>
      <c r="C320" s="145">
        <f t="shared" si="71"/>
        <v>1</v>
      </c>
      <c r="D320" s="145">
        <f t="shared" si="71"/>
        <v>1</v>
      </c>
      <c r="E320" s="145">
        <f t="shared" si="71"/>
        <v>1</v>
      </c>
      <c r="F320" s="145">
        <f t="shared" si="71"/>
        <v>1</v>
      </c>
      <c r="G320" s="145">
        <f>MIN(G319+$B$299,1)</f>
        <v>0.9</v>
      </c>
      <c r="H320" s="147">
        <f>G319</f>
        <v>0.8</v>
      </c>
      <c r="I320" s="147">
        <f t="shared" si="58"/>
        <v>0.8</v>
      </c>
      <c r="J320" s="145">
        <f t="shared" si="69"/>
        <v>0.75</v>
      </c>
      <c r="K320" s="145">
        <f t="shared" si="70"/>
        <v>0.7</v>
      </c>
      <c r="L320" s="145">
        <f t="shared" si="70"/>
        <v>0.64999999999999991</v>
      </c>
      <c r="N320" s="50" cm="1">
        <f t="array" ref="N320">_xlfn.XLOOKUP($N$302,_xlfn.ANCHORARRAY($B$302),B320:L320)</f>
        <v>0.75</v>
      </c>
    </row>
    <row r="321" spans="1:19" ht="14.05" customHeight="1" x14ac:dyDescent="0.5">
      <c r="A321" s="3" t="str">
        <v>Other - L3</v>
      </c>
      <c r="B321" s="145">
        <f t="shared" si="71"/>
        <v>1</v>
      </c>
      <c r="C321" s="145">
        <f t="shared" si="71"/>
        <v>1</v>
      </c>
      <c r="D321" s="145">
        <f t="shared" si="71"/>
        <v>1</v>
      </c>
      <c r="E321" s="145">
        <f t="shared" si="71"/>
        <v>1</v>
      </c>
      <c r="F321" s="145">
        <f t="shared" si="71"/>
        <v>1</v>
      </c>
      <c r="G321" s="145">
        <f t="shared" si="71"/>
        <v>1</v>
      </c>
      <c r="H321" s="145">
        <f>MIN(H320+$B$299,1)</f>
        <v>0.9</v>
      </c>
      <c r="I321" s="145">
        <f t="shared" si="58"/>
        <v>0.9</v>
      </c>
      <c r="J321" s="147">
        <f>H320</f>
        <v>0.8</v>
      </c>
      <c r="K321" s="145">
        <f t="shared" si="70"/>
        <v>0.75</v>
      </c>
      <c r="L321" s="145">
        <f t="shared" si="70"/>
        <v>0.7</v>
      </c>
      <c r="N321" s="50" cm="1">
        <f t="array" ref="N321">_xlfn.XLOOKUP($N$302,_xlfn.ANCHORARRAY($B$302),B321:L321)</f>
        <v>0.8</v>
      </c>
    </row>
    <row r="322" spans="1:19" ht="14.05" customHeight="1" x14ac:dyDescent="0.5">
      <c r="A322" s="3" t="str">
        <v>Other - L2</v>
      </c>
      <c r="B322" s="145">
        <f t="shared" si="71"/>
        <v>1</v>
      </c>
      <c r="C322" s="145">
        <f t="shared" si="71"/>
        <v>1</v>
      </c>
      <c r="D322" s="145">
        <f t="shared" si="71"/>
        <v>1</v>
      </c>
      <c r="E322" s="145">
        <f t="shared" si="71"/>
        <v>1</v>
      </c>
      <c r="F322" s="145">
        <f t="shared" si="71"/>
        <v>1</v>
      </c>
      <c r="G322" s="145">
        <f t="shared" si="71"/>
        <v>1</v>
      </c>
      <c r="H322" s="145">
        <f t="shared" si="71"/>
        <v>1</v>
      </c>
      <c r="I322" s="145">
        <f t="shared" si="58"/>
        <v>1</v>
      </c>
      <c r="J322" s="145">
        <f>MIN(J321+$B$299,1)</f>
        <v>0.9</v>
      </c>
      <c r="K322" s="147">
        <f>J321</f>
        <v>0.8</v>
      </c>
      <c r="L322" s="145">
        <f>MAX(K322-$B$300,0)</f>
        <v>0.75</v>
      </c>
      <c r="N322" s="50" cm="1">
        <f t="array" ref="N322">_xlfn.XLOOKUP($N$302,_xlfn.ANCHORARRAY($B$302),B322:L322)</f>
        <v>0.9</v>
      </c>
    </row>
    <row r="323" spans="1:19" ht="14.05" customHeight="1" x14ac:dyDescent="0.5">
      <c r="A323" s="3" t="str">
        <v>Other - L1</v>
      </c>
      <c r="B323" s="145">
        <f t="shared" si="71"/>
        <v>1</v>
      </c>
      <c r="C323" s="145">
        <f t="shared" si="71"/>
        <v>1</v>
      </c>
      <c r="D323" s="145">
        <f t="shared" si="71"/>
        <v>1</v>
      </c>
      <c r="E323" s="145">
        <f t="shared" si="71"/>
        <v>1</v>
      </c>
      <c r="F323" s="145">
        <f t="shared" si="71"/>
        <v>1</v>
      </c>
      <c r="G323" s="145">
        <f t="shared" si="71"/>
        <v>1</v>
      </c>
      <c r="H323" s="145">
        <f t="shared" si="71"/>
        <v>1</v>
      </c>
      <c r="I323" s="145">
        <f t="shared" si="58"/>
        <v>1</v>
      </c>
      <c r="J323" s="145">
        <f>MIN(J322+$B$299,1)</f>
        <v>1</v>
      </c>
      <c r="K323" s="145">
        <f>MIN(K322+$B$299,1)</f>
        <v>0.9</v>
      </c>
      <c r="L323" s="147">
        <f>K322</f>
        <v>0.8</v>
      </c>
      <c r="N323" s="50" cm="1">
        <f t="array" ref="N323">_xlfn.XLOOKUP($N$302,_xlfn.ANCHORARRAY($B$302),B323:L323)</f>
        <v>1</v>
      </c>
    </row>
    <row r="325" spans="1:19" ht="14.05" customHeight="1" x14ac:dyDescent="0.5">
      <c r="A325" s="11" t="s">
        <v>102</v>
      </c>
      <c r="F325" s="145"/>
      <c r="G325" s="145"/>
      <c r="H325" s="145"/>
    </row>
    <row r="326" spans="1:19" ht="14.05" customHeight="1" x14ac:dyDescent="0.5">
      <c r="G326" s="145"/>
      <c r="H326" s="145"/>
    </row>
    <row r="327" spans="1:19" ht="14.05" customHeight="1" x14ac:dyDescent="0.5">
      <c r="A327" s="30" t="s">
        <v>9</v>
      </c>
      <c r="B327" s="30"/>
      <c r="C327" s="30"/>
      <c r="D327" s="30"/>
      <c r="E327" s="30"/>
      <c r="F327" s="30"/>
      <c r="G327" s="30"/>
      <c r="H327" s="145"/>
      <c r="I327" s="30"/>
      <c r="J327" s="30"/>
      <c r="K327" s="30"/>
      <c r="L327" s="30"/>
      <c r="M327" s="30"/>
      <c r="N327" s="30"/>
      <c r="O327" s="30"/>
      <c r="P327" s="30"/>
      <c r="Q327" s="30"/>
    </row>
    <row r="328" spans="1:19" ht="61" customHeight="1" x14ac:dyDescent="0.5">
      <c r="A328" s="35" t="s">
        <v>196</v>
      </c>
      <c r="B328" s="37" t="s">
        <v>197</v>
      </c>
      <c r="C328" s="37" t="s">
        <v>37</v>
      </c>
      <c r="D328" s="37" t="s">
        <v>38</v>
      </c>
      <c r="E328" s="37" t="s">
        <v>0</v>
      </c>
      <c r="F328" s="37" t="s">
        <v>39</v>
      </c>
      <c r="G328" s="37" t="s">
        <v>40</v>
      </c>
      <c r="H328" s="37" t="s">
        <v>41</v>
      </c>
      <c r="I328" s="37" t="s">
        <v>42</v>
      </c>
      <c r="J328" s="37" t="s">
        <v>43</v>
      </c>
      <c r="K328" s="37" t="s">
        <v>44</v>
      </c>
      <c r="L328" s="37" t="s">
        <v>46</v>
      </c>
      <c r="M328" s="37" t="s">
        <v>45</v>
      </c>
      <c r="N328" s="37" t="s">
        <v>47</v>
      </c>
      <c r="O328" s="37" t="s">
        <v>48</v>
      </c>
      <c r="P328" s="37" t="s">
        <v>49</v>
      </c>
      <c r="Q328" s="37" t="s">
        <v>50</v>
      </c>
    </row>
    <row r="329" spans="1:19" ht="14.05" customHeight="1" x14ac:dyDescent="0.5">
      <c r="A329" s="51" t="s">
        <v>198</v>
      </c>
      <c r="B329" s="51" t="s">
        <v>103</v>
      </c>
      <c r="C329" s="118">
        <v>0.1</v>
      </c>
      <c r="D329" s="118">
        <v>0.1</v>
      </c>
      <c r="E329" s="118">
        <v>0.1</v>
      </c>
      <c r="F329" s="118">
        <v>0.1</v>
      </c>
      <c r="G329" s="118">
        <v>0.1</v>
      </c>
      <c r="H329" s="118">
        <v>0.1</v>
      </c>
      <c r="I329" s="118">
        <v>0.1</v>
      </c>
      <c r="J329" s="118">
        <v>0.1</v>
      </c>
      <c r="K329" s="118">
        <v>0.1</v>
      </c>
      <c r="L329" s="118">
        <v>0.1</v>
      </c>
      <c r="M329" s="118">
        <v>0.1</v>
      </c>
      <c r="N329" s="118">
        <v>0.1</v>
      </c>
      <c r="O329" s="118">
        <v>0.1</v>
      </c>
      <c r="P329" s="118">
        <v>0.1</v>
      </c>
      <c r="Q329" s="118">
        <v>0.1</v>
      </c>
      <c r="S329" s="3" t="s">
        <v>104</v>
      </c>
    </row>
    <row r="330" spans="1:19" ht="14.05" customHeight="1" x14ac:dyDescent="0.5">
      <c r="A330" s="51" t="s">
        <v>106</v>
      </c>
      <c r="B330" s="51" t="s">
        <v>105</v>
      </c>
      <c r="C330" s="118">
        <v>0.4</v>
      </c>
      <c r="D330" s="118">
        <v>0.4</v>
      </c>
      <c r="E330" s="118">
        <v>0.4</v>
      </c>
      <c r="F330" s="118">
        <v>0.4</v>
      </c>
      <c r="G330" s="118">
        <v>0.4</v>
      </c>
      <c r="H330" s="118">
        <v>0.4</v>
      </c>
      <c r="I330" s="118">
        <v>0.4</v>
      </c>
      <c r="J330" s="118">
        <v>0.4</v>
      </c>
      <c r="K330" s="118">
        <v>0.4</v>
      </c>
      <c r="L330" s="118">
        <v>0.4</v>
      </c>
      <c r="M330" s="118">
        <v>0.4</v>
      </c>
      <c r="N330" s="118">
        <v>0.4</v>
      </c>
      <c r="O330" s="118">
        <v>0.4</v>
      </c>
      <c r="P330" s="118">
        <v>0.4</v>
      </c>
      <c r="Q330" s="118">
        <v>0.4</v>
      </c>
      <c r="S330" s="3" t="s">
        <v>107</v>
      </c>
    </row>
    <row r="331" spans="1:19" ht="14.05" customHeight="1" x14ac:dyDescent="0.5">
      <c r="A331" s="51" t="s">
        <v>109</v>
      </c>
      <c r="B331" s="51" t="s">
        <v>108</v>
      </c>
      <c r="C331" s="118">
        <v>0.2</v>
      </c>
      <c r="D331" s="118">
        <v>0.2</v>
      </c>
      <c r="E331" s="118">
        <v>0.2</v>
      </c>
      <c r="F331" s="118">
        <v>0.2</v>
      </c>
      <c r="G331" s="118">
        <v>0.2</v>
      </c>
      <c r="H331" s="118">
        <v>0.2</v>
      </c>
      <c r="I331" s="118">
        <v>0.2</v>
      </c>
      <c r="J331" s="118">
        <v>0.2</v>
      </c>
      <c r="K331" s="118">
        <v>0.2</v>
      </c>
      <c r="L331" s="118">
        <v>0.2</v>
      </c>
      <c r="M331" s="118">
        <v>0.2</v>
      </c>
      <c r="N331" s="118">
        <v>0.2</v>
      </c>
      <c r="O331" s="118">
        <v>0.2</v>
      </c>
      <c r="P331" s="118">
        <v>0.2</v>
      </c>
      <c r="Q331" s="118">
        <v>0.2</v>
      </c>
      <c r="S331" s="3" t="s">
        <v>110</v>
      </c>
    </row>
    <row r="332" spans="1:19" ht="14.05" customHeight="1" x14ac:dyDescent="0.5">
      <c r="A332" s="51" t="s">
        <v>112</v>
      </c>
      <c r="B332" s="51" t="s">
        <v>111</v>
      </c>
      <c r="C332" s="118">
        <v>0.1</v>
      </c>
      <c r="D332" s="118">
        <v>0.1</v>
      </c>
      <c r="E332" s="118">
        <v>0.1</v>
      </c>
      <c r="F332" s="118">
        <v>0.1</v>
      </c>
      <c r="G332" s="118">
        <v>0.1</v>
      </c>
      <c r="H332" s="118">
        <v>0.1</v>
      </c>
      <c r="I332" s="118">
        <v>0.1</v>
      </c>
      <c r="J332" s="118">
        <v>0.1</v>
      </c>
      <c r="K332" s="118">
        <v>0.1</v>
      </c>
      <c r="L332" s="118">
        <v>0.1</v>
      </c>
      <c r="M332" s="118">
        <v>0.1</v>
      </c>
      <c r="N332" s="118">
        <v>0.1</v>
      </c>
      <c r="O332" s="118">
        <v>0.1</v>
      </c>
      <c r="P332" s="118">
        <v>0.1</v>
      </c>
      <c r="Q332" s="118">
        <v>0.1</v>
      </c>
      <c r="S332" s="3" t="s">
        <v>113</v>
      </c>
    </row>
    <row r="333" spans="1:19" ht="14.05" customHeight="1" x14ac:dyDescent="0.5">
      <c r="A333" s="51" t="s">
        <v>115</v>
      </c>
      <c r="B333" s="51" t="s">
        <v>114</v>
      </c>
      <c r="C333" s="118">
        <v>0.1</v>
      </c>
      <c r="D333" s="118">
        <v>0.1</v>
      </c>
      <c r="E333" s="118">
        <v>0.1</v>
      </c>
      <c r="F333" s="118">
        <v>0.1</v>
      </c>
      <c r="G333" s="118">
        <v>0.1</v>
      </c>
      <c r="H333" s="118">
        <v>0.1</v>
      </c>
      <c r="I333" s="118">
        <v>0.4</v>
      </c>
      <c r="J333" s="118">
        <v>0.1</v>
      </c>
      <c r="K333" s="118">
        <v>0.1</v>
      </c>
      <c r="L333" s="118">
        <v>0.4</v>
      </c>
      <c r="M333" s="118">
        <v>0.4</v>
      </c>
      <c r="N333" s="118">
        <v>0.1</v>
      </c>
      <c r="O333" s="118">
        <v>0.4</v>
      </c>
      <c r="P333" s="118">
        <v>0.1</v>
      </c>
      <c r="Q333" s="118">
        <v>0.1</v>
      </c>
      <c r="S333" s="3" t="s">
        <v>116</v>
      </c>
    </row>
    <row r="334" spans="1:19" ht="14.05" customHeight="1" x14ac:dyDescent="0.5">
      <c r="A334" s="51" t="s">
        <v>118</v>
      </c>
      <c r="B334" s="51" t="s">
        <v>117</v>
      </c>
      <c r="C334" s="118">
        <v>0.1</v>
      </c>
      <c r="D334" s="118">
        <v>0.1</v>
      </c>
      <c r="E334" s="118">
        <v>0.1</v>
      </c>
      <c r="F334" s="118">
        <v>0.1</v>
      </c>
      <c r="G334" s="118">
        <v>0.1</v>
      </c>
      <c r="H334" s="118">
        <v>0.1</v>
      </c>
      <c r="I334" s="118">
        <v>0.1</v>
      </c>
      <c r="J334" s="118">
        <v>0.1</v>
      </c>
      <c r="K334" s="118">
        <v>0.1</v>
      </c>
      <c r="L334" s="118">
        <v>0.2</v>
      </c>
      <c r="M334" s="118">
        <v>0.8</v>
      </c>
      <c r="N334" s="118">
        <v>0.1</v>
      </c>
      <c r="O334" s="118">
        <v>0.1</v>
      </c>
      <c r="P334" s="118">
        <v>0.1</v>
      </c>
      <c r="Q334" s="118">
        <v>0.1</v>
      </c>
      <c r="S334" s="3" t="s">
        <v>119</v>
      </c>
    </row>
    <row r="335" spans="1:19" ht="14.05" customHeight="1" x14ac:dyDescent="0.5">
      <c r="A335" s="51" t="s">
        <v>121</v>
      </c>
      <c r="B335" s="51" t="s">
        <v>120</v>
      </c>
      <c r="C335" s="118">
        <v>0.2</v>
      </c>
      <c r="D335" s="118">
        <v>0.4</v>
      </c>
      <c r="E335" s="118">
        <v>1</v>
      </c>
      <c r="F335" s="118">
        <v>0.2</v>
      </c>
      <c r="G335" s="118">
        <v>0.4</v>
      </c>
      <c r="H335" s="118">
        <v>0.4</v>
      </c>
      <c r="I335" s="118">
        <v>0.4</v>
      </c>
      <c r="J335" s="118">
        <v>0.2</v>
      </c>
      <c r="K335" s="118">
        <v>0.6</v>
      </c>
      <c r="L335" s="118">
        <v>0.1</v>
      </c>
      <c r="M335" s="118">
        <v>0.2</v>
      </c>
      <c r="N335" s="118">
        <v>1</v>
      </c>
      <c r="O335" s="118">
        <v>1</v>
      </c>
      <c r="P335" s="118">
        <v>0.4</v>
      </c>
      <c r="Q335" s="118">
        <v>0.2</v>
      </c>
      <c r="S335" s="3" t="s">
        <v>122</v>
      </c>
    </row>
    <row r="336" spans="1:19" ht="14.05" customHeight="1" x14ac:dyDescent="0.5">
      <c r="A336" s="51" t="s">
        <v>124</v>
      </c>
      <c r="B336" s="51" t="s">
        <v>123</v>
      </c>
      <c r="C336" s="118">
        <v>0.2</v>
      </c>
      <c r="D336" s="118">
        <v>0.2</v>
      </c>
      <c r="E336" s="118">
        <v>0.2</v>
      </c>
      <c r="F336" s="118">
        <v>0.2</v>
      </c>
      <c r="G336" s="118">
        <v>0.2</v>
      </c>
      <c r="H336" s="118">
        <v>0.2</v>
      </c>
      <c r="I336" s="118">
        <v>0.2</v>
      </c>
      <c r="J336" s="118">
        <v>0.2</v>
      </c>
      <c r="K336" s="118">
        <v>0.2</v>
      </c>
      <c r="L336" s="118">
        <v>0.2</v>
      </c>
      <c r="M336" s="118">
        <v>0.2</v>
      </c>
      <c r="N336" s="118">
        <v>1</v>
      </c>
      <c r="O336" s="118">
        <v>0.2</v>
      </c>
      <c r="P336" s="118">
        <v>0.2</v>
      </c>
      <c r="Q336" s="118">
        <v>0.2</v>
      </c>
      <c r="S336" s="3" t="s">
        <v>125</v>
      </c>
    </row>
    <row r="337" spans="1:19" ht="14.05" customHeight="1" x14ac:dyDescent="0.5">
      <c r="A337" s="51" t="s">
        <v>127</v>
      </c>
      <c r="B337" s="51" t="s">
        <v>126</v>
      </c>
      <c r="C337" s="118">
        <v>1</v>
      </c>
      <c r="D337" s="118">
        <v>0.2</v>
      </c>
      <c r="E337" s="118">
        <v>0.2</v>
      </c>
      <c r="F337" s="118">
        <v>0.2</v>
      </c>
      <c r="G337" s="118">
        <v>0.2</v>
      </c>
      <c r="H337" s="118">
        <v>0.2</v>
      </c>
      <c r="I337" s="118">
        <v>0.2</v>
      </c>
      <c r="J337" s="118">
        <v>0.2</v>
      </c>
      <c r="K337" s="118">
        <v>0.2</v>
      </c>
      <c r="L337" s="118">
        <v>0.2</v>
      </c>
      <c r="M337" s="118">
        <v>0.2</v>
      </c>
      <c r="N337" s="118">
        <v>0.2</v>
      </c>
      <c r="O337" s="118">
        <v>0.2</v>
      </c>
      <c r="P337" s="118">
        <v>0.2</v>
      </c>
      <c r="Q337" s="118">
        <v>0.2</v>
      </c>
      <c r="S337" s="3" t="s">
        <v>128</v>
      </c>
    </row>
    <row r="338" spans="1:19" ht="14.05" customHeight="1" x14ac:dyDescent="0.5">
      <c r="A338" s="51" t="s">
        <v>130</v>
      </c>
      <c r="B338" s="51" t="s">
        <v>129</v>
      </c>
      <c r="C338" s="118">
        <v>0.2</v>
      </c>
      <c r="D338" s="118">
        <v>0.4</v>
      </c>
      <c r="E338" s="118">
        <v>1</v>
      </c>
      <c r="F338" s="118">
        <v>0.6</v>
      </c>
      <c r="G338" s="118">
        <v>0.2</v>
      </c>
      <c r="H338" s="118">
        <v>0.2</v>
      </c>
      <c r="I338" s="118">
        <v>0.2</v>
      </c>
      <c r="J338" s="118">
        <v>0.2</v>
      </c>
      <c r="K338" s="118">
        <v>1</v>
      </c>
      <c r="L338" s="118">
        <v>0.2</v>
      </c>
      <c r="M338" s="118">
        <v>0.2</v>
      </c>
      <c r="N338" s="118">
        <v>1</v>
      </c>
      <c r="O338" s="118">
        <v>0.4</v>
      </c>
      <c r="P338" s="118">
        <v>0.2</v>
      </c>
      <c r="Q338" s="118">
        <v>0.6</v>
      </c>
      <c r="S338" s="3" t="s">
        <v>122</v>
      </c>
    </row>
    <row r="339" spans="1:19" ht="14.05" customHeight="1" x14ac:dyDescent="0.5">
      <c r="A339" s="51" t="s">
        <v>132</v>
      </c>
      <c r="B339" s="51" t="s">
        <v>131</v>
      </c>
      <c r="C339" s="118">
        <v>0.2</v>
      </c>
      <c r="D339" s="118">
        <v>1</v>
      </c>
      <c r="E339" s="118">
        <v>0.4</v>
      </c>
      <c r="F339" s="118">
        <v>0.2</v>
      </c>
      <c r="G339" s="118">
        <v>0.4</v>
      </c>
      <c r="H339" s="118">
        <v>1</v>
      </c>
      <c r="I339" s="118">
        <v>1</v>
      </c>
      <c r="J339" s="118">
        <v>0.4</v>
      </c>
      <c r="K339" s="118">
        <v>0.2</v>
      </c>
      <c r="L339" s="118">
        <v>0.2</v>
      </c>
      <c r="M339" s="118">
        <v>0.2</v>
      </c>
      <c r="N339" s="118">
        <v>0.4</v>
      </c>
      <c r="O339" s="118">
        <v>0.8</v>
      </c>
      <c r="P339" s="118">
        <v>1</v>
      </c>
      <c r="Q339" s="118">
        <v>0.2</v>
      </c>
      <c r="S339" s="3" t="s">
        <v>133</v>
      </c>
    </row>
    <row r="340" spans="1:19" ht="14.05" customHeight="1" x14ac:dyDescent="0.5">
      <c r="A340" s="51" t="s">
        <v>135</v>
      </c>
      <c r="B340" s="51" t="s">
        <v>134</v>
      </c>
      <c r="C340" s="118">
        <v>0.2</v>
      </c>
      <c r="D340" s="118">
        <v>0.2</v>
      </c>
      <c r="E340" s="118">
        <v>0.4</v>
      </c>
      <c r="F340" s="118">
        <v>1</v>
      </c>
      <c r="G340" s="118">
        <v>0.2</v>
      </c>
      <c r="H340" s="118">
        <v>0.2</v>
      </c>
      <c r="I340" s="118">
        <v>0.2</v>
      </c>
      <c r="J340" s="118">
        <v>0.2</v>
      </c>
      <c r="K340" s="118">
        <v>0.4</v>
      </c>
      <c r="L340" s="118">
        <v>0.2</v>
      </c>
      <c r="M340" s="118">
        <v>0.2</v>
      </c>
      <c r="N340" s="118">
        <v>0.4</v>
      </c>
      <c r="O340" s="118">
        <v>0.4</v>
      </c>
      <c r="P340" s="118">
        <v>0.2</v>
      </c>
      <c r="Q340" s="118">
        <v>0.4</v>
      </c>
      <c r="S340" s="3" t="s">
        <v>136</v>
      </c>
    </row>
    <row r="341" spans="1:19" ht="14.05" customHeight="1" x14ac:dyDescent="0.5">
      <c r="A341" s="51" t="s">
        <v>138</v>
      </c>
      <c r="B341" s="51" t="s">
        <v>137</v>
      </c>
      <c r="C341" s="118">
        <v>0.2</v>
      </c>
      <c r="D341" s="118">
        <v>0.2</v>
      </c>
      <c r="E341" s="118">
        <v>0.2</v>
      </c>
      <c r="F341" s="118">
        <v>0.2</v>
      </c>
      <c r="G341" s="118">
        <v>0.2</v>
      </c>
      <c r="H341" s="118">
        <v>0.2</v>
      </c>
      <c r="I341" s="118">
        <v>0.2</v>
      </c>
      <c r="J341" s="118">
        <v>0.2</v>
      </c>
      <c r="K341" s="118">
        <v>0.2</v>
      </c>
      <c r="L341" s="118">
        <v>0.2</v>
      </c>
      <c r="M341" s="118">
        <v>0.2</v>
      </c>
      <c r="N341" s="118">
        <v>1</v>
      </c>
      <c r="O341" s="118">
        <v>0.4</v>
      </c>
      <c r="P341" s="118">
        <v>0.2</v>
      </c>
      <c r="Q341" s="118">
        <v>0.2</v>
      </c>
      <c r="S341" s="3" t="s">
        <v>139</v>
      </c>
    </row>
    <row r="342" spans="1:19" ht="14.05" customHeight="1" x14ac:dyDescent="0.5">
      <c r="A342" s="51" t="s">
        <v>141</v>
      </c>
      <c r="B342" s="51" t="s">
        <v>140</v>
      </c>
      <c r="C342" s="118">
        <v>0.2</v>
      </c>
      <c r="D342" s="118">
        <v>0.2</v>
      </c>
      <c r="E342" s="118">
        <v>1</v>
      </c>
      <c r="F342" s="118">
        <v>0.2</v>
      </c>
      <c r="G342" s="118">
        <v>0.4</v>
      </c>
      <c r="H342" s="118">
        <v>1</v>
      </c>
      <c r="I342" s="118">
        <v>1</v>
      </c>
      <c r="J342" s="118">
        <v>0.6</v>
      </c>
      <c r="K342" s="118">
        <v>0.2</v>
      </c>
      <c r="L342" s="118">
        <v>0.2</v>
      </c>
      <c r="M342" s="118">
        <v>0.2</v>
      </c>
      <c r="N342" s="118">
        <v>1</v>
      </c>
      <c r="O342" s="118">
        <v>0.6</v>
      </c>
      <c r="P342" s="118">
        <v>1</v>
      </c>
      <c r="Q342" s="118">
        <v>0.2</v>
      </c>
      <c r="S342" s="3" t="s">
        <v>142</v>
      </c>
    </row>
    <row r="343" spans="1:19" ht="14.05" customHeight="1" x14ac:dyDescent="0.5">
      <c r="A343" s="51" t="s">
        <v>144</v>
      </c>
      <c r="B343" s="51" t="s">
        <v>143</v>
      </c>
      <c r="C343" s="118">
        <v>0.2</v>
      </c>
      <c r="D343" s="118">
        <v>0.2</v>
      </c>
      <c r="E343" s="118">
        <v>0.4</v>
      </c>
      <c r="F343" s="118">
        <v>0.2</v>
      </c>
      <c r="G343" s="118">
        <v>0.2</v>
      </c>
      <c r="H343" s="118">
        <v>0.2</v>
      </c>
      <c r="I343" s="118">
        <v>0.2</v>
      </c>
      <c r="J343" s="118">
        <v>0.2</v>
      </c>
      <c r="K343" s="118">
        <v>0.2</v>
      </c>
      <c r="L343" s="118">
        <v>0.2</v>
      </c>
      <c r="M343" s="118">
        <v>0.2</v>
      </c>
      <c r="N343" s="118">
        <v>0.4</v>
      </c>
      <c r="O343" s="118">
        <v>0.4</v>
      </c>
      <c r="P343" s="118">
        <v>0.2</v>
      </c>
      <c r="Q343" s="118">
        <v>0.2</v>
      </c>
      <c r="S343" s="3" t="s">
        <v>145</v>
      </c>
    </row>
    <row r="344" spans="1:19" ht="14.05" customHeight="1" x14ac:dyDescent="0.5">
      <c r="A344" s="51" t="s">
        <v>147</v>
      </c>
      <c r="B344" s="51" t="s">
        <v>146</v>
      </c>
      <c r="C344" s="118">
        <v>0.2</v>
      </c>
      <c r="D344" s="118">
        <v>0.6</v>
      </c>
      <c r="E344" s="118">
        <v>0.4</v>
      </c>
      <c r="F344" s="118">
        <v>0.2</v>
      </c>
      <c r="G344" s="118">
        <v>0.4</v>
      </c>
      <c r="H344" s="118">
        <v>1</v>
      </c>
      <c r="I344" s="118">
        <v>0.8</v>
      </c>
      <c r="J344" s="118">
        <v>0.8</v>
      </c>
      <c r="K344" s="118">
        <v>0.2</v>
      </c>
      <c r="L344" s="118">
        <v>0.2</v>
      </c>
      <c r="M344" s="118">
        <v>0.2</v>
      </c>
      <c r="N344" s="118">
        <v>0.4</v>
      </c>
      <c r="O344" s="118">
        <v>0.6</v>
      </c>
      <c r="P344" s="118">
        <v>0.8</v>
      </c>
      <c r="Q344" s="118">
        <v>0.2</v>
      </c>
      <c r="S344" s="3" t="s">
        <v>133</v>
      </c>
    </row>
    <row r="345" spans="1:19" ht="14.05" customHeight="1" x14ac:dyDescent="0.5">
      <c r="A345" s="51" t="s">
        <v>149</v>
      </c>
      <c r="B345" s="51" t="s">
        <v>148</v>
      </c>
      <c r="C345" s="118">
        <v>0.2</v>
      </c>
      <c r="D345" s="118">
        <v>0.4</v>
      </c>
      <c r="E345" s="118">
        <v>0.4</v>
      </c>
      <c r="F345" s="118">
        <v>0.2</v>
      </c>
      <c r="G345" s="118">
        <v>0.4</v>
      </c>
      <c r="H345" s="118">
        <v>0.8</v>
      </c>
      <c r="I345" s="118">
        <v>1</v>
      </c>
      <c r="J345" s="118">
        <v>0.6</v>
      </c>
      <c r="K345" s="118">
        <v>0.2</v>
      </c>
      <c r="L345" s="118">
        <v>0.2</v>
      </c>
      <c r="M345" s="118">
        <v>0.2</v>
      </c>
      <c r="N345" s="118">
        <v>0.4</v>
      </c>
      <c r="O345" s="118">
        <v>0.6</v>
      </c>
      <c r="P345" s="118">
        <v>0.8</v>
      </c>
      <c r="Q345" s="118">
        <v>0.2</v>
      </c>
      <c r="S345" s="3" t="s">
        <v>133</v>
      </c>
    </row>
    <row r="346" spans="1:19" ht="14.05" customHeight="1" x14ac:dyDescent="0.5">
      <c r="A346" s="51" t="s">
        <v>151</v>
      </c>
      <c r="B346" s="51" t="s">
        <v>150</v>
      </c>
      <c r="C346" s="118">
        <v>0.2</v>
      </c>
      <c r="D346" s="118">
        <v>0.4</v>
      </c>
      <c r="E346" s="118">
        <v>0.2</v>
      </c>
      <c r="F346" s="118">
        <v>0.2</v>
      </c>
      <c r="G346" s="118">
        <v>1</v>
      </c>
      <c r="H346" s="118">
        <v>0.4</v>
      </c>
      <c r="I346" s="118">
        <v>0.4</v>
      </c>
      <c r="J346" s="118">
        <v>0.4</v>
      </c>
      <c r="K346" s="118">
        <v>0.2</v>
      </c>
      <c r="L346" s="118">
        <v>0.2</v>
      </c>
      <c r="M346" s="118">
        <v>0.2</v>
      </c>
      <c r="N346" s="118">
        <v>0.2</v>
      </c>
      <c r="O346" s="118">
        <v>0.2</v>
      </c>
      <c r="P346" s="118">
        <v>0.4</v>
      </c>
      <c r="Q346" s="118">
        <v>0.2</v>
      </c>
      <c r="S346" s="3" t="s">
        <v>133</v>
      </c>
    </row>
    <row r="347" spans="1:19" ht="14.05" customHeight="1" x14ac:dyDescent="0.5">
      <c r="A347" s="51" t="s">
        <v>153</v>
      </c>
      <c r="B347" s="51" t="s">
        <v>152</v>
      </c>
      <c r="C347" s="118">
        <v>0.1</v>
      </c>
      <c r="D347" s="118">
        <v>0.1</v>
      </c>
      <c r="E347" s="118">
        <v>0.1</v>
      </c>
      <c r="F347" s="118">
        <v>0.1</v>
      </c>
      <c r="G347" s="118">
        <v>0.8</v>
      </c>
      <c r="H347" s="118">
        <v>0.1</v>
      </c>
      <c r="I347" s="118">
        <v>0.1</v>
      </c>
      <c r="J347" s="118">
        <v>0.1</v>
      </c>
      <c r="K347" s="118">
        <v>0.1</v>
      </c>
      <c r="L347" s="118">
        <v>0.1</v>
      </c>
      <c r="M347" s="118">
        <v>0.1</v>
      </c>
      <c r="N347" s="118">
        <v>0.1</v>
      </c>
      <c r="O347" s="118">
        <v>0.1</v>
      </c>
      <c r="P347" s="118">
        <v>0.1</v>
      </c>
      <c r="Q347" s="118">
        <v>0.1</v>
      </c>
      <c r="S347" s="3" t="s">
        <v>154</v>
      </c>
    </row>
    <row r="348" spans="1:19" ht="14.05" customHeight="1" x14ac:dyDescent="0.5">
      <c r="A348" s="51" t="s">
        <v>156</v>
      </c>
      <c r="B348" s="51" t="s">
        <v>155</v>
      </c>
      <c r="C348" s="118">
        <v>0.2</v>
      </c>
      <c r="D348" s="118">
        <v>0.2</v>
      </c>
      <c r="E348" s="118">
        <v>0.2</v>
      </c>
      <c r="F348" s="118">
        <v>0.2</v>
      </c>
      <c r="G348" s="118">
        <v>0.2</v>
      </c>
      <c r="H348" s="118">
        <v>0.2</v>
      </c>
      <c r="I348" s="118">
        <v>0.2</v>
      </c>
      <c r="J348" s="118">
        <v>0.2</v>
      </c>
      <c r="K348" s="118">
        <v>0.2</v>
      </c>
      <c r="L348" s="118">
        <v>1</v>
      </c>
      <c r="M348" s="118">
        <v>1</v>
      </c>
      <c r="N348" s="118">
        <v>0.2</v>
      </c>
      <c r="O348" s="118">
        <v>0.2</v>
      </c>
      <c r="P348" s="118">
        <v>0.2</v>
      </c>
      <c r="Q348" s="118">
        <v>0.2</v>
      </c>
      <c r="S348" s="3" t="s">
        <v>157</v>
      </c>
    </row>
    <row r="349" spans="1:19" ht="14.05" customHeight="1" x14ac:dyDescent="0.5">
      <c r="A349" s="51" t="s">
        <v>159</v>
      </c>
      <c r="B349" s="51" t="s">
        <v>158</v>
      </c>
      <c r="C349" s="118">
        <v>0.2</v>
      </c>
      <c r="D349" s="118">
        <v>0.2</v>
      </c>
      <c r="E349" s="118">
        <v>0.2</v>
      </c>
      <c r="F349" s="118">
        <v>0.2</v>
      </c>
      <c r="G349" s="118">
        <v>0.2</v>
      </c>
      <c r="H349" s="118">
        <v>0.2</v>
      </c>
      <c r="I349" s="118">
        <v>0.2</v>
      </c>
      <c r="J349" s="118">
        <v>0.2</v>
      </c>
      <c r="K349" s="118">
        <v>0.2</v>
      </c>
      <c r="L349" s="118">
        <v>1</v>
      </c>
      <c r="M349" s="118">
        <v>1</v>
      </c>
      <c r="N349" s="118">
        <v>0.2</v>
      </c>
      <c r="O349" s="118">
        <v>0.2</v>
      </c>
      <c r="P349" s="118">
        <v>0.2</v>
      </c>
      <c r="Q349" s="118">
        <v>0.2</v>
      </c>
      <c r="S349" s="3" t="s">
        <v>157</v>
      </c>
    </row>
    <row r="350" spans="1:19" ht="14.05" customHeight="1" x14ac:dyDescent="0.5">
      <c r="A350" s="51" t="s">
        <v>161</v>
      </c>
      <c r="B350" s="51" t="s">
        <v>160</v>
      </c>
      <c r="C350" s="118">
        <v>0.2</v>
      </c>
      <c r="D350" s="118">
        <v>0.2</v>
      </c>
      <c r="E350" s="118">
        <v>0.2</v>
      </c>
      <c r="F350" s="118">
        <v>0.2</v>
      </c>
      <c r="G350" s="118">
        <v>0.2</v>
      </c>
      <c r="H350" s="118">
        <v>0.2</v>
      </c>
      <c r="I350" s="118">
        <v>0.2</v>
      </c>
      <c r="J350" s="118">
        <v>0.2</v>
      </c>
      <c r="K350" s="118">
        <v>0.2</v>
      </c>
      <c r="L350" s="118">
        <v>1</v>
      </c>
      <c r="M350" s="118">
        <v>1</v>
      </c>
      <c r="N350" s="118">
        <v>0.2</v>
      </c>
      <c r="O350" s="118">
        <v>0.2</v>
      </c>
      <c r="P350" s="118">
        <v>0.2</v>
      </c>
      <c r="Q350" s="118">
        <v>0.2</v>
      </c>
      <c r="S350" s="3" t="s">
        <v>157</v>
      </c>
    </row>
    <row r="351" spans="1:19" ht="14.05" customHeight="1" x14ac:dyDescent="0.5">
      <c r="A351" s="51" t="s">
        <v>163</v>
      </c>
      <c r="B351" s="51" t="s">
        <v>162</v>
      </c>
      <c r="C351" s="118">
        <v>0.2</v>
      </c>
      <c r="D351" s="118">
        <v>0.2</v>
      </c>
      <c r="E351" s="118">
        <v>0.2</v>
      </c>
      <c r="F351" s="118">
        <v>0.2</v>
      </c>
      <c r="G351" s="118">
        <v>0.2</v>
      </c>
      <c r="H351" s="118">
        <v>0.2</v>
      </c>
      <c r="I351" s="118">
        <v>0.2</v>
      </c>
      <c r="J351" s="118">
        <v>1</v>
      </c>
      <c r="K351" s="118">
        <v>0.2</v>
      </c>
      <c r="L351" s="118">
        <v>0.2</v>
      </c>
      <c r="M351" s="118">
        <v>0.2</v>
      </c>
      <c r="N351" s="118">
        <v>0.2</v>
      </c>
      <c r="O351" s="118">
        <v>0.6</v>
      </c>
      <c r="P351" s="118">
        <v>0.2</v>
      </c>
      <c r="Q351" s="118">
        <v>0.2</v>
      </c>
      <c r="S351" s="3" t="s">
        <v>164</v>
      </c>
    </row>
    <row r="352" spans="1:19" ht="14.05" customHeight="1" x14ac:dyDescent="0.5">
      <c r="A352" s="51" t="s">
        <v>166</v>
      </c>
      <c r="B352" s="51" t="s">
        <v>165</v>
      </c>
      <c r="C352" s="118">
        <v>0.4</v>
      </c>
      <c r="D352" s="118">
        <v>0.4</v>
      </c>
      <c r="E352" s="118">
        <v>0.4</v>
      </c>
      <c r="F352" s="118">
        <v>0.4</v>
      </c>
      <c r="G352" s="118">
        <v>0.4</v>
      </c>
      <c r="H352" s="118">
        <v>0.4</v>
      </c>
      <c r="I352" s="118">
        <v>0.4</v>
      </c>
      <c r="J352" s="118">
        <v>0.4</v>
      </c>
      <c r="K352" s="118">
        <v>0.4</v>
      </c>
      <c r="L352" s="118">
        <v>0.4</v>
      </c>
      <c r="M352" s="118">
        <v>0.4</v>
      </c>
      <c r="N352" s="118">
        <v>0.4</v>
      </c>
      <c r="O352" s="118">
        <v>0.4</v>
      </c>
      <c r="P352" s="118">
        <v>0.4</v>
      </c>
      <c r="Q352" s="118">
        <v>0.4</v>
      </c>
      <c r="S352" s="3" t="s">
        <v>167</v>
      </c>
    </row>
    <row r="353" spans="1:19" ht="14.05" customHeight="1" x14ac:dyDescent="0.5">
      <c r="A353" s="51" t="s">
        <v>169</v>
      </c>
      <c r="B353" s="51" t="s">
        <v>168</v>
      </c>
      <c r="C353" s="118">
        <v>0.4</v>
      </c>
      <c r="D353" s="118">
        <v>0.4</v>
      </c>
      <c r="E353" s="118">
        <v>0.4</v>
      </c>
      <c r="F353" s="118">
        <v>0.4</v>
      </c>
      <c r="G353" s="118">
        <v>0.4</v>
      </c>
      <c r="H353" s="118">
        <v>0.4</v>
      </c>
      <c r="I353" s="118">
        <v>0.4</v>
      </c>
      <c r="J353" s="118">
        <v>0.4</v>
      </c>
      <c r="K353" s="118">
        <v>0.4</v>
      </c>
      <c r="L353" s="118">
        <v>0.4</v>
      </c>
      <c r="M353" s="118">
        <v>0.4</v>
      </c>
      <c r="N353" s="118">
        <v>0.4</v>
      </c>
      <c r="O353" s="118">
        <v>0.4</v>
      </c>
      <c r="P353" s="118">
        <v>0.4</v>
      </c>
      <c r="Q353" s="118">
        <v>0.4</v>
      </c>
      <c r="S353" s="3" t="s">
        <v>167</v>
      </c>
    </row>
    <row r="354" spans="1:19" ht="14.05" customHeight="1" x14ac:dyDescent="0.5">
      <c r="A354" s="51" t="s">
        <v>171</v>
      </c>
      <c r="B354" s="51" t="s">
        <v>170</v>
      </c>
      <c r="C354" s="118">
        <v>0.2</v>
      </c>
      <c r="D354" s="118">
        <v>0.6</v>
      </c>
      <c r="E354" s="118">
        <v>0.4</v>
      </c>
      <c r="F354" s="118">
        <v>0.2</v>
      </c>
      <c r="G354" s="118">
        <v>0.3</v>
      </c>
      <c r="H354" s="118">
        <v>0.6</v>
      </c>
      <c r="I354" s="118">
        <v>0.6</v>
      </c>
      <c r="J354" s="118">
        <v>0.6</v>
      </c>
      <c r="K354" s="118">
        <v>0.2</v>
      </c>
      <c r="L354" s="118">
        <v>0.2</v>
      </c>
      <c r="M354" s="118">
        <v>0.2</v>
      </c>
      <c r="N354" s="118">
        <v>0.4</v>
      </c>
      <c r="O354" s="118">
        <v>0.4</v>
      </c>
      <c r="P354" s="118">
        <v>0.6</v>
      </c>
      <c r="Q354" s="118">
        <v>0.2</v>
      </c>
      <c r="S354" s="3" t="s">
        <v>133</v>
      </c>
    </row>
    <row r="355" spans="1:19" ht="14.05" customHeight="1" x14ac:dyDescent="0.5">
      <c r="A355" s="51" t="s">
        <v>173</v>
      </c>
      <c r="B355" s="51" t="s">
        <v>172</v>
      </c>
      <c r="C355" s="118">
        <v>0.2</v>
      </c>
      <c r="D355" s="118">
        <v>0.2</v>
      </c>
      <c r="E355" s="118">
        <v>0.6</v>
      </c>
      <c r="F355" s="118">
        <v>0.2</v>
      </c>
      <c r="G355" s="118">
        <v>0.2</v>
      </c>
      <c r="H355" s="118">
        <v>0.2</v>
      </c>
      <c r="I355" s="118">
        <v>0.2</v>
      </c>
      <c r="J355" s="118">
        <v>0.2</v>
      </c>
      <c r="K355" s="118">
        <v>0.6</v>
      </c>
      <c r="L355" s="118">
        <v>0.2</v>
      </c>
      <c r="M355" s="118">
        <v>0.2</v>
      </c>
      <c r="N355" s="118">
        <v>0.6</v>
      </c>
      <c r="O355" s="118">
        <v>0.6</v>
      </c>
      <c r="P355" s="118">
        <v>0.2</v>
      </c>
      <c r="Q355" s="118">
        <v>0.2</v>
      </c>
      <c r="S355" s="3" t="s">
        <v>145</v>
      </c>
    </row>
    <row r="356" spans="1:19" ht="14.05" customHeight="1" x14ac:dyDescent="0.5">
      <c r="A356" s="51" t="s">
        <v>175</v>
      </c>
      <c r="B356" s="51" t="s">
        <v>174</v>
      </c>
      <c r="C356" s="118">
        <v>0.4</v>
      </c>
      <c r="D356" s="118">
        <v>0.2</v>
      </c>
      <c r="E356" s="118">
        <v>0.6</v>
      </c>
      <c r="F356" s="118">
        <v>0.6</v>
      </c>
      <c r="G356" s="118">
        <v>0.2</v>
      </c>
      <c r="H356" s="118">
        <v>0.2</v>
      </c>
      <c r="I356" s="118">
        <v>0.2</v>
      </c>
      <c r="J356" s="118">
        <v>0.2</v>
      </c>
      <c r="K356" s="118">
        <v>0.6</v>
      </c>
      <c r="L356" s="118">
        <v>0.2</v>
      </c>
      <c r="M356" s="118">
        <v>0.4</v>
      </c>
      <c r="N356" s="118">
        <v>0.6</v>
      </c>
      <c r="O356" s="118">
        <v>0.2</v>
      </c>
      <c r="P356" s="118">
        <v>0.2</v>
      </c>
      <c r="Q356" s="118">
        <v>1</v>
      </c>
      <c r="S356" s="3" t="s">
        <v>176</v>
      </c>
    </row>
    <row r="357" spans="1:19" ht="14.05" customHeight="1" x14ac:dyDescent="0.5">
      <c r="A357" s="51" t="s">
        <v>178</v>
      </c>
      <c r="B357" s="51" t="s">
        <v>177</v>
      </c>
      <c r="C357" s="118">
        <v>0.1</v>
      </c>
      <c r="D357" s="118">
        <v>0.1</v>
      </c>
      <c r="E357" s="118">
        <v>0.1</v>
      </c>
      <c r="F357" s="118">
        <v>0.1</v>
      </c>
      <c r="G357" s="118">
        <v>0.1</v>
      </c>
      <c r="H357" s="118">
        <v>0.1</v>
      </c>
      <c r="I357" s="118">
        <v>0.1</v>
      </c>
      <c r="J357" s="118">
        <v>0.1</v>
      </c>
      <c r="K357" s="118">
        <v>0.1</v>
      </c>
      <c r="L357" s="118">
        <v>0.1</v>
      </c>
      <c r="M357" s="118">
        <v>0.1</v>
      </c>
      <c r="N357" s="118">
        <v>0.1</v>
      </c>
      <c r="O357" s="118">
        <v>0.1</v>
      </c>
      <c r="P357" s="118">
        <v>0.1</v>
      </c>
      <c r="Q357" s="118">
        <v>0.1</v>
      </c>
    </row>
    <row r="358" spans="1:19" ht="14.05" customHeight="1" x14ac:dyDescent="0.5">
      <c r="A358" s="51" t="s">
        <v>180</v>
      </c>
      <c r="B358" s="51" t="s">
        <v>179</v>
      </c>
      <c r="C358" s="118">
        <v>0.1</v>
      </c>
      <c r="D358" s="118">
        <v>0.1</v>
      </c>
      <c r="E358" s="118">
        <v>0.1</v>
      </c>
      <c r="F358" s="118">
        <v>0.1</v>
      </c>
      <c r="G358" s="118">
        <v>0.1</v>
      </c>
      <c r="H358" s="118">
        <v>0.1</v>
      </c>
      <c r="I358" s="118">
        <v>0.1</v>
      </c>
      <c r="J358" s="118">
        <v>0.1</v>
      </c>
      <c r="K358" s="118">
        <v>0.1</v>
      </c>
      <c r="L358" s="118">
        <v>0.1</v>
      </c>
      <c r="M358" s="118">
        <v>0.1</v>
      </c>
      <c r="N358" s="118">
        <v>0.1</v>
      </c>
      <c r="O358" s="118">
        <v>0.1</v>
      </c>
      <c r="P358" s="118">
        <v>0.1</v>
      </c>
      <c r="Q358" s="118">
        <v>0.1</v>
      </c>
    </row>
    <row r="359" spans="1:19" ht="14.05" customHeight="1" x14ac:dyDescent="0.5">
      <c r="A359" s="51" t="s">
        <v>182</v>
      </c>
      <c r="B359" s="51" t="s">
        <v>181</v>
      </c>
      <c r="C359" s="118">
        <v>0.1</v>
      </c>
      <c r="D359" s="118">
        <v>0.1</v>
      </c>
      <c r="E359" s="118">
        <v>0.1</v>
      </c>
      <c r="F359" s="118">
        <v>0.1</v>
      </c>
      <c r="G359" s="118">
        <v>0.1</v>
      </c>
      <c r="H359" s="118">
        <v>0.1</v>
      </c>
      <c r="I359" s="118">
        <v>0.1</v>
      </c>
      <c r="J359" s="118">
        <v>0.1</v>
      </c>
      <c r="K359" s="118">
        <v>0.1</v>
      </c>
      <c r="L359" s="118">
        <v>0.1</v>
      </c>
      <c r="M359" s="118">
        <v>0.1</v>
      </c>
      <c r="N359" s="118">
        <v>0.1</v>
      </c>
      <c r="O359" s="118">
        <v>0.1</v>
      </c>
      <c r="P359" s="118">
        <v>0.1</v>
      </c>
      <c r="Q359" s="118">
        <v>0.1</v>
      </c>
    </row>
    <row r="360" spans="1:19" ht="14.05" customHeight="1" x14ac:dyDescent="0.5">
      <c r="A360" s="51" t="s">
        <v>184</v>
      </c>
      <c r="B360" s="51" t="s">
        <v>183</v>
      </c>
      <c r="C360" s="118">
        <v>0.1</v>
      </c>
      <c r="D360" s="118">
        <v>0.1</v>
      </c>
      <c r="E360" s="118">
        <v>0.1</v>
      </c>
      <c r="F360" s="118">
        <v>0.1</v>
      </c>
      <c r="G360" s="118">
        <v>0.1</v>
      </c>
      <c r="H360" s="118">
        <v>0.1</v>
      </c>
      <c r="I360" s="118">
        <v>0.1</v>
      </c>
      <c r="J360" s="118">
        <v>0.1</v>
      </c>
      <c r="K360" s="118">
        <v>0.1</v>
      </c>
      <c r="L360" s="118">
        <v>0.1</v>
      </c>
      <c r="M360" s="118">
        <v>0.1</v>
      </c>
      <c r="N360" s="118">
        <v>0.1</v>
      </c>
      <c r="O360" s="118">
        <v>0.1</v>
      </c>
      <c r="P360" s="118">
        <v>0.1</v>
      </c>
      <c r="Q360" s="118">
        <v>0.1</v>
      </c>
    </row>
    <row r="361" spans="1:19" ht="14.05" customHeight="1" x14ac:dyDescent="0.5">
      <c r="A361" s="51" t="s">
        <v>186</v>
      </c>
      <c r="B361" s="51" t="s">
        <v>185</v>
      </c>
      <c r="C361" s="118">
        <v>0.1</v>
      </c>
      <c r="D361" s="118">
        <v>0.1</v>
      </c>
      <c r="E361" s="118">
        <v>0.1</v>
      </c>
      <c r="F361" s="118">
        <v>0.1</v>
      </c>
      <c r="G361" s="118">
        <v>0.1</v>
      </c>
      <c r="H361" s="118">
        <v>0.1</v>
      </c>
      <c r="I361" s="118">
        <v>0.1</v>
      </c>
      <c r="J361" s="118">
        <v>0.1</v>
      </c>
      <c r="K361" s="118">
        <v>0.1</v>
      </c>
      <c r="L361" s="118">
        <v>0.1</v>
      </c>
      <c r="M361" s="118">
        <v>0.1</v>
      </c>
      <c r="N361" s="118">
        <v>0.1</v>
      </c>
      <c r="O361" s="118">
        <v>0.1</v>
      </c>
      <c r="P361" s="118">
        <v>0.1</v>
      </c>
      <c r="Q361" s="118">
        <v>0.1</v>
      </c>
    </row>
    <row r="362" spans="1:19" ht="14.05" customHeight="1" x14ac:dyDescent="0.5">
      <c r="A362" s="51" t="s">
        <v>188</v>
      </c>
      <c r="B362" s="51" t="s">
        <v>187</v>
      </c>
      <c r="C362" s="118">
        <v>0.1</v>
      </c>
      <c r="D362" s="118">
        <v>0.1</v>
      </c>
      <c r="E362" s="118">
        <v>0.1</v>
      </c>
      <c r="F362" s="118">
        <v>0.1</v>
      </c>
      <c r="G362" s="118">
        <v>0.1</v>
      </c>
      <c r="H362" s="118">
        <v>0.1</v>
      </c>
      <c r="I362" s="118">
        <v>0.1</v>
      </c>
      <c r="J362" s="118">
        <v>0.1</v>
      </c>
      <c r="K362" s="118">
        <v>0.1</v>
      </c>
      <c r="L362" s="118">
        <v>0.1</v>
      </c>
      <c r="M362" s="118">
        <v>0.1</v>
      </c>
      <c r="N362" s="118">
        <v>0.1</v>
      </c>
      <c r="O362" s="118">
        <v>0.1</v>
      </c>
      <c r="P362" s="118">
        <v>0.1</v>
      </c>
      <c r="Q362" s="118">
        <v>0.1</v>
      </c>
    </row>
    <row r="364" spans="1:19" ht="14.05" customHeight="1" x14ac:dyDescent="0.5">
      <c r="A364" s="266" t="s">
        <v>189</v>
      </c>
      <c r="B364" s="119" t="s">
        <v>190</v>
      </c>
      <c r="C364" s="49">
        <v>0.5</v>
      </c>
    </row>
    <row r="365" spans="1:19" ht="14.05" customHeight="1" x14ac:dyDescent="0.5">
      <c r="A365" s="266"/>
      <c r="B365" s="119" t="s">
        <v>191</v>
      </c>
      <c r="C365" s="49">
        <v>0.5</v>
      </c>
    </row>
    <row r="367" spans="1:19" ht="14.05" customHeight="1" x14ac:dyDescent="0.5">
      <c r="A367" s="30" t="s">
        <v>1</v>
      </c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</row>
    <row r="368" spans="1:19" ht="61" customHeight="1" x14ac:dyDescent="0.5">
      <c r="A368" s="35" t="s">
        <v>196</v>
      </c>
      <c r="B368" s="37" t="s">
        <v>197</v>
      </c>
      <c r="C368" s="37" t="s">
        <v>37</v>
      </c>
      <c r="D368" s="37" t="s">
        <v>38</v>
      </c>
      <c r="E368" s="37" t="s">
        <v>0</v>
      </c>
      <c r="F368" s="37" t="s">
        <v>39</v>
      </c>
      <c r="G368" s="37" t="s">
        <v>40</v>
      </c>
      <c r="H368" s="37" t="s">
        <v>41</v>
      </c>
      <c r="I368" s="37" t="s">
        <v>42</v>
      </c>
      <c r="J368" s="37" t="s">
        <v>43</v>
      </c>
      <c r="K368" s="37" t="s">
        <v>44</v>
      </c>
      <c r="L368" s="37" t="s">
        <v>46</v>
      </c>
      <c r="M368" s="37" t="s">
        <v>45</v>
      </c>
      <c r="N368" s="37" t="s">
        <v>47</v>
      </c>
      <c r="O368" s="37" t="s">
        <v>48</v>
      </c>
      <c r="P368" s="37" t="s">
        <v>49</v>
      </c>
      <c r="Q368" s="37" t="s">
        <v>50</v>
      </c>
    </row>
    <row r="369" spans="1:19" ht="14.05" customHeight="1" x14ac:dyDescent="0.5">
      <c r="A369" s="51" t="s">
        <v>198</v>
      </c>
      <c r="B369" s="51" t="s">
        <v>103</v>
      </c>
      <c r="C369" s="118">
        <v>0.1</v>
      </c>
      <c r="D369" s="118">
        <v>0.1</v>
      </c>
      <c r="E369" s="118">
        <v>0.1</v>
      </c>
      <c r="F369" s="118">
        <v>0.1</v>
      </c>
      <c r="G369" s="118">
        <v>0.1</v>
      </c>
      <c r="H369" s="118">
        <v>0.1</v>
      </c>
      <c r="I369" s="118">
        <v>0.1</v>
      </c>
      <c r="J369" s="118">
        <v>0.1</v>
      </c>
      <c r="K369" s="118">
        <v>0.1</v>
      </c>
      <c r="L369" s="118">
        <v>0.1</v>
      </c>
      <c r="M369" s="118">
        <v>0.1</v>
      </c>
      <c r="N369" s="118">
        <v>0.1</v>
      </c>
      <c r="O369" s="118">
        <v>0.1</v>
      </c>
      <c r="P369" s="118">
        <v>0.1</v>
      </c>
      <c r="Q369" s="118">
        <v>0.1</v>
      </c>
      <c r="S369" s="3" t="s">
        <v>104</v>
      </c>
    </row>
    <row r="370" spans="1:19" ht="14.05" customHeight="1" x14ac:dyDescent="0.5">
      <c r="A370" s="51" t="s">
        <v>106</v>
      </c>
      <c r="B370" s="51" t="s">
        <v>105</v>
      </c>
      <c r="C370" s="118">
        <v>0.2</v>
      </c>
      <c r="D370" s="118">
        <v>0.2</v>
      </c>
      <c r="E370" s="118">
        <v>0.2</v>
      </c>
      <c r="F370" s="118">
        <v>0.2</v>
      </c>
      <c r="G370" s="118">
        <v>0.2</v>
      </c>
      <c r="H370" s="118">
        <v>0.2</v>
      </c>
      <c r="I370" s="118">
        <v>0.2</v>
      </c>
      <c r="J370" s="118">
        <v>0.2</v>
      </c>
      <c r="K370" s="118">
        <v>0.2</v>
      </c>
      <c r="L370" s="118">
        <v>0.2</v>
      </c>
      <c r="M370" s="118">
        <v>0.2</v>
      </c>
      <c r="N370" s="118">
        <v>0.2</v>
      </c>
      <c r="O370" s="118">
        <v>0.2</v>
      </c>
      <c r="P370" s="118">
        <v>0.2</v>
      </c>
      <c r="Q370" s="118">
        <v>0.2</v>
      </c>
      <c r="S370" s="3" t="s">
        <v>192</v>
      </c>
    </row>
    <row r="371" spans="1:19" ht="14.05" customHeight="1" x14ac:dyDescent="0.5">
      <c r="A371" s="51" t="s">
        <v>109</v>
      </c>
      <c r="B371" s="51" t="s">
        <v>108</v>
      </c>
      <c r="C371" s="118">
        <v>0.2</v>
      </c>
      <c r="D371" s="118">
        <v>0.2</v>
      </c>
      <c r="E371" s="118">
        <v>0.2</v>
      </c>
      <c r="F371" s="118">
        <v>0.2</v>
      </c>
      <c r="G371" s="118">
        <v>0.2</v>
      </c>
      <c r="H371" s="118">
        <v>0.2</v>
      </c>
      <c r="I371" s="118">
        <v>0.2</v>
      </c>
      <c r="J371" s="118">
        <v>0.2</v>
      </c>
      <c r="K371" s="118">
        <v>0.2</v>
      </c>
      <c r="L371" s="118">
        <v>0.2</v>
      </c>
      <c r="M371" s="118">
        <v>0.2</v>
      </c>
      <c r="N371" s="118">
        <v>0.2</v>
      </c>
      <c r="O371" s="118">
        <v>0.2</v>
      </c>
      <c r="P371" s="118">
        <v>0.2</v>
      </c>
      <c r="Q371" s="118">
        <v>0.2</v>
      </c>
      <c r="S371" s="3" t="s">
        <v>192</v>
      </c>
    </row>
    <row r="372" spans="1:19" ht="14.05" customHeight="1" x14ac:dyDescent="0.5">
      <c r="A372" s="51" t="s">
        <v>112</v>
      </c>
      <c r="B372" s="51" t="s">
        <v>111</v>
      </c>
      <c r="C372" s="118">
        <f t="shared" ref="C372:Q374" si="72">MAX(C332*$C$57, 10%)</f>
        <v>0.1</v>
      </c>
      <c r="D372" s="118">
        <f t="shared" si="72"/>
        <v>0.1</v>
      </c>
      <c r="E372" s="118">
        <f t="shared" si="72"/>
        <v>0.1</v>
      </c>
      <c r="F372" s="118">
        <f t="shared" si="72"/>
        <v>0.1</v>
      </c>
      <c r="G372" s="118">
        <f t="shared" si="72"/>
        <v>0.1</v>
      </c>
      <c r="H372" s="118">
        <f t="shared" si="72"/>
        <v>0.1</v>
      </c>
      <c r="I372" s="118">
        <f t="shared" si="72"/>
        <v>0.1</v>
      </c>
      <c r="J372" s="118">
        <f t="shared" si="72"/>
        <v>0.1</v>
      </c>
      <c r="K372" s="118">
        <f t="shared" si="72"/>
        <v>0.1</v>
      </c>
      <c r="L372" s="118">
        <f t="shared" si="72"/>
        <v>0.1</v>
      </c>
      <c r="M372" s="118">
        <f t="shared" si="72"/>
        <v>0.1</v>
      </c>
      <c r="N372" s="118">
        <f t="shared" si="72"/>
        <v>0.1</v>
      </c>
      <c r="O372" s="118">
        <f t="shared" si="72"/>
        <v>0.1</v>
      </c>
      <c r="P372" s="118">
        <f t="shared" si="72"/>
        <v>0.1</v>
      </c>
      <c r="Q372" s="118">
        <f t="shared" si="72"/>
        <v>0.1</v>
      </c>
      <c r="S372" s="3" t="s">
        <v>193</v>
      </c>
    </row>
    <row r="373" spans="1:19" ht="14.05" customHeight="1" x14ac:dyDescent="0.5">
      <c r="A373" s="51" t="s">
        <v>115</v>
      </c>
      <c r="B373" s="51" t="s">
        <v>114</v>
      </c>
      <c r="C373" s="118">
        <f t="shared" si="72"/>
        <v>0.1</v>
      </c>
      <c r="D373" s="118">
        <f t="shared" si="72"/>
        <v>0.1</v>
      </c>
      <c r="E373" s="118">
        <f t="shared" si="72"/>
        <v>0.1</v>
      </c>
      <c r="F373" s="118">
        <f t="shared" si="72"/>
        <v>0.1</v>
      </c>
      <c r="G373" s="118">
        <f t="shared" si="72"/>
        <v>0.1</v>
      </c>
      <c r="H373" s="118">
        <f t="shared" si="72"/>
        <v>0.1</v>
      </c>
      <c r="I373" s="118">
        <f t="shared" si="72"/>
        <v>0.1</v>
      </c>
      <c r="J373" s="118">
        <f t="shared" si="72"/>
        <v>0.1</v>
      </c>
      <c r="K373" s="118">
        <f t="shared" si="72"/>
        <v>0.1</v>
      </c>
      <c r="L373" s="118">
        <f t="shared" si="72"/>
        <v>0.1</v>
      </c>
      <c r="M373" s="118">
        <f t="shared" si="72"/>
        <v>0.1</v>
      </c>
      <c r="N373" s="118">
        <f t="shared" si="72"/>
        <v>0.1</v>
      </c>
      <c r="O373" s="118">
        <f t="shared" si="72"/>
        <v>0.1</v>
      </c>
      <c r="P373" s="118">
        <f t="shared" si="72"/>
        <v>0.1</v>
      </c>
      <c r="Q373" s="118">
        <f t="shared" si="72"/>
        <v>0.1</v>
      </c>
    </row>
    <row r="374" spans="1:19" ht="14.05" customHeight="1" x14ac:dyDescent="0.5">
      <c r="A374" s="51" t="s">
        <v>118</v>
      </c>
      <c r="B374" s="51" t="s">
        <v>117</v>
      </c>
      <c r="C374" s="118">
        <f t="shared" si="72"/>
        <v>0.1</v>
      </c>
      <c r="D374" s="118">
        <f t="shared" si="72"/>
        <v>0.1</v>
      </c>
      <c r="E374" s="118">
        <f t="shared" si="72"/>
        <v>0.1</v>
      </c>
      <c r="F374" s="118">
        <f t="shared" si="72"/>
        <v>0.1</v>
      </c>
      <c r="G374" s="118">
        <f t="shared" si="72"/>
        <v>0.1</v>
      </c>
      <c r="H374" s="118">
        <f t="shared" si="72"/>
        <v>0.1</v>
      </c>
      <c r="I374" s="118">
        <f t="shared" si="72"/>
        <v>0.1</v>
      </c>
      <c r="J374" s="118">
        <f t="shared" si="72"/>
        <v>0.1</v>
      </c>
      <c r="K374" s="118">
        <f t="shared" si="72"/>
        <v>0.1</v>
      </c>
      <c r="L374" s="118">
        <f t="shared" si="72"/>
        <v>0.1</v>
      </c>
      <c r="M374" s="118">
        <f t="shared" si="72"/>
        <v>0.1</v>
      </c>
      <c r="N374" s="118">
        <f t="shared" si="72"/>
        <v>0.1</v>
      </c>
      <c r="O374" s="118">
        <f t="shared" si="72"/>
        <v>0.1</v>
      </c>
      <c r="P374" s="118">
        <f t="shared" si="72"/>
        <v>0.1</v>
      </c>
      <c r="Q374" s="118">
        <f t="shared" si="72"/>
        <v>0.1</v>
      </c>
    </row>
    <row r="375" spans="1:19" ht="14.05" customHeight="1" x14ac:dyDescent="0.5">
      <c r="A375" s="51" t="s">
        <v>121</v>
      </c>
      <c r="B375" s="51" t="s">
        <v>120</v>
      </c>
      <c r="C375" s="118">
        <f t="shared" ref="C375:Q390" si="73">MAX(C335*$C$58, 10%)</f>
        <v>0.1</v>
      </c>
      <c r="D375" s="118">
        <f t="shared" si="73"/>
        <v>0.1</v>
      </c>
      <c r="E375" s="118">
        <f t="shared" si="73"/>
        <v>0.1</v>
      </c>
      <c r="F375" s="118">
        <f t="shared" si="73"/>
        <v>0.1</v>
      </c>
      <c r="G375" s="118">
        <f t="shared" si="73"/>
        <v>0.1</v>
      </c>
      <c r="H375" s="118">
        <f t="shared" si="73"/>
        <v>0.1</v>
      </c>
      <c r="I375" s="118">
        <f t="shared" si="73"/>
        <v>0.1</v>
      </c>
      <c r="J375" s="118">
        <f t="shared" si="73"/>
        <v>0.1</v>
      </c>
      <c r="K375" s="118">
        <f t="shared" si="73"/>
        <v>0.1</v>
      </c>
      <c r="L375" s="118">
        <f t="shared" si="73"/>
        <v>0.1</v>
      </c>
      <c r="M375" s="118">
        <f t="shared" si="73"/>
        <v>0.1</v>
      </c>
      <c r="N375" s="118">
        <f t="shared" si="73"/>
        <v>0.1</v>
      </c>
      <c r="O375" s="118">
        <f t="shared" si="73"/>
        <v>0.1</v>
      </c>
      <c r="P375" s="118">
        <f t="shared" si="73"/>
        <v>0.1</v>
      </c>
      <c r="Q375" s="118">
        <f t="shared" si="73"/>
        <v>0.1</v>
      </c>
    </row>
    <row r="376" spans="1:19" ht="14.05" customHeight="1" x14ac:dyDescent="0.5">
      <c r="A376" s="51" t="s">
        <v>124</v>
      </c>
      <c r="B376" s="51" t="s">
        <v>123</v>
      </c>
      <c r="C376" s="118">
        <f t="shared" si="73"/>
        <v>0.1</v>
      </c>
      <c r="D376" s="118">
        <f t="shared" si="73"/>
        <v>0.1</v>
      </c>
      <c r="E376" s="118">
        <f t="shared" si="73"/>
        <v>0.1</v>
      </c>
      <c r="F376" s="118">
        <f t="shared" si="73"/>
        <v>0.1</v>
      </c>
      <c r="G376" s="118">
        <f t="shared" si="73"/>
        <v>0.1</v>
      </c>
      <c r="H376" s="118">
        <f t="shared" si="73"/>
        <v>0.1</v>
      </c>
      <c r="I376" s="118">
        <f t="shared" si="73"/>
        <v>0.1</v>
      </c>
      <c r="J376" s="118">
        <f t="shared" si="73"/>
        <v>0.1</v>
      </c>
      <c r="K376" s="118">
        <f t="shared" si="73"/>
        <v>0.1</v>
      </c>
      <c r="L376" s="118">
        <f t="shared" si="73"/>
        <v>0.1</v>
      </c>
      <c r="M376" s="118">
        <f t="shared" si="73"/>
        <v>0.1</v>
      </c>
      <c r="N376" s="118">
        <f t="shared" si="73"/>
        <v>0.1</v>
      </c>
      <c r="O376" s="118">
        <f t="shared" si="73"/>
        <v>0.1</v>
      </c>
      <c r="P376" s="118">
        <f t="shared" si="73"/>
        <v>0.1</v>
      </c>
      <c r="Q376" s="118">
        <f t="shared" si="73"/>
        <v>0.1</v>
      </c>
    </row>
    <row r="377" spans="1:19" ht="14.05" customHeight="1" x14ac:dyDescent="0.5">
      <c r="A377" s="51" t="s">
        <v>127</v>
      </c>
      <c r="B377" s="51" t="s">
        <v>126</v>
      </c>
      <c r="C377" s="118">
        <f t="shared" si="73"/>
        <v>0.1</v>
      </c>
      <c r="D377" s="118">
        <f t="shared" si="73"/>
        <v>0.1</v>
      </c>
      <c r="E377" s="118">
        <f t="shared" si="73"/>
        <v>0.1</v>
      </c>
      <c r="F377" s="118">
        <f t="shared" si="73"/>
        <v>0.1</v>
      </c>
      <c r="G377" s="118">
        <f t="shared" si="73"/>
        <v>0.1</v>
      </c>
      <c r="H377" s="118">
        <f t="shared" si="73"/>
        <v>0.1</v>
      </c>
      <c r="I377" s="118">
        <f t="shared" si="73"/>
        <v>0.1</v>
      </c>
      <c r="J377" s="118">
        <f t="shared" si="73"/>
        <v>0.1</v>
      </c>
      <c r="K377" s="118">
        <f t="shared" si="73"/>
        <v>0.1</v>
      </c>
      <c r="L377" s="118">
        <f t="shared" si="73"/>
        <v>0.1</v>
      </c>
      <c r="M377" s="118">
        <f t="shared" si="73"/>
        <v>0.1</v>
      </c>
      <c r="N377" s="118">
        <f t="shared" si="73"/>
        <v>0.1</v>
      </c>
      <c r="O377" s="118">
        <f t="shared" si="73"/>
        <v>0.1</v>
      </c>
      <c r="P377" s="118">
        <f t="shared" si="73"/>
        <v>0.1</v>
      </c>
      <c r="Q377" s="118">
        <f t="shared" si="73"/>
        <v>0.1</v>
      </c>
    </row>
    <row r="378" spans="1:19" ht="14.05" customHeight="1" x14ac:dyDescent="0.5">
      <c r="A378" s="51" t="s">
        <v>130</v>
      </c>
      <c r="B378" s="51" t="s">
        <v>129</v>
      </c>
      <c r="C378" s="118">
        <f t="shared" si="73"/>
        <v>0.1</v>
      </c>
      <c r="D378" s="118">
        <f t="shared" si="73"/>
        <v>0.1</v>
      </c>
      <c r="E378" s="118">
        <f t="shared" si="73"/>
        <v>0.1</v>
      </c>
      <c r="F378" s="118">
        <f t="shared" si="73"/>
        <v>0.1</v>
      </c>
      <c r="G378" s="118">
        <f t="shared" si="73"/>
        <v>0.1</v>
      </c>
      <c r="H378" s="118">
        <f t="shared" si="73"/>
        <v>0.1</v>
      </c>
      <c r="I378" s="118">
        <f t="shared" si="73"/>
        <v>0.1</v>
      </c>
      <c r="J378" s="118">
        <f t="shared" si="73"/>
        <v>0.1</v>
      </c>
      <c r="K378" s="118">
        <f t="shared" si="73"/>
        <v>0.1</v>
      </c>
      <c r="L378" s="118">
        <f t="shared" si="73"/>
        <v>0.1</v>
      </c>
      <c r="M378" s="118">
        <f t="shared" si="73"/>
        <v>0.1</v>
      </c>
      <c r="N378" s="118">
        <f t="shared" si="73"/>
        <v>0.1</v>
      </c>
      <c r="O378" s="118">
        <f t="shared" si="73"/>
        <v>0.1</v>
      </c>
      <c r="P378" s="118">
        <f t="shared" si="73"/>
        <v>0.1</v>
      </c>
      <c r="Q378" s="118">
        <f t="shared" si="73"/>
        <v>0.1</v>
      </c>
    </row>
    <row r="379" spans="1:19" ht="14.05" customHeight="1" x14ac:dyDescent="0.5">
      <c r="A379" s="51" t="s">
        <v>132</v>
      </c>
      <c r="B379" s="51" t="s">
        <v>131</v>
      </c>
      <c r="C379" s="118">
        <f t="shared" si="73"/>
        <v>0.1</v>
      </c>
      <c r="D379" s="118">
        <f t="shared" si="73"/>
        <v>0.1</v>
      </c>
      <c r="E379" s="118">
        <f t="shared" si="73"/>
        <v>0.1</v>
      </c>
      <c r="F379" s="118">
        <f t="shared" si="73"/>
        <v>0.1</v>
      </c>
      <c r="G379" s="118">
        <f t="shared" si="73"/>
        <v>0.1</v>
      </c>
      <c r="H379" s="118">
        <f t="shared" si="73"/>
        <v>0.1</v>
      </c>
      <c r="I379" s="118">
        <f t="shared" si="73"/>
        <v>0.1</v>
      </c>
      <c r="J379" s="118">
        <f t="shared" si="73"/>
        <v>0.1</v>
      </c>
      <c r="K379" s="118">
        <f t="shared" si="73"/>
        <v>0.1</v>
      </c>
      <c r="L379" s="118">
        <f t="shared" si="73"/>
        <v>0.1</v>
      </c>
      <c r="M379" s="118">
        <f t="shared" si="73"/>
        <v>0.1</v>
      </c>
      <c r="N379" s="118">
        <f t="shared" si="73"/>
        <v>0.1</v>
      </c>
      <c r="O379" s="118">
        <f t="shared" si="73"/>
        <v>0.1</v>
      </c>
      <c r="P379" s="118">
        <f t="shared" si="73"/>
        <v>0.1</v>
      </c>
      <c r="Q379" s="118">
        <f t="shared" si="73"/>
        <v>0.1</v>
      </c>
    </row>
    <row r="380" spans="1:19" ht="14.05" customHeight="1" x14ac:dyDescent="0.5">
      <c r="A380" s="51" t="s">
        <v>135</v>
      </c>
      <c r="B380" s="51" t="s">
        <v>134</v>
      </c>
      <c r="C380" s="118">
        <f t="shared" si="73"/>
        <v>0.1</v>
      </c>
      <c r="D380" s="118">
        <f t="shared" si="73"/>
        <v>0.1</v>
      </c>
      <c r="E380" s="118">
        <f t="shared" si="73"/>
        <v>0.1</v>
      </c>
      <c r="F380" s="118">
        <f t="shared" si="73"/>
        <v>0.1</v>
      </c>
      <c r="G380" s="118">
        <f t="shared" si="73"/>
        <v>0.1</v>
      </c>
      <c r="H380" s="118">
        <f t="shared" si="73"/>
        <v>0.1</v>
      </c>
      <c r="I380" s="118">
        <f t="shared" si="73"/>
        <v>0.1</v>
      </c>
      <c r="J380" s="118">
        <f t="shared" si="73"/>
        <v>0.1</v>
      </c>
      <c r="K380" s="118">
        <f t="shared" si="73"/>
        <v>0.1</v>
      </c>
      <c r="L380" s="118">
        <f t="shared" si="73"/>
        <v>0.1</v>
      </c>
      <c r="M380" s="118">
        <f t="shared" si="73"/>
        <v>0.1</v>
      </c>
      <c r="N380" s="118">
        <f t="shared" si="73"/>
        <v>0.1</v>
      </c>
      <c r="O380" s="118">
        <f t="shared" si="73"/>
        <v>0.1</v>
      </c>
      <c r="P380" s="118">
        <f t="shared" si="73"/>
        <v>0.1</v>
      </c>
      <c r="Q380" s="118">
        <f t="shared" si="73"/>
        <v>0.1</v>
      </c>
    </row>
    <row r="381" spans="1:19" ht="14.05" customHeight="1" x14ac:dyDescent="0.5">
      <c r="A381" s="51" t="s">
        <v>138</v>
      </c>
      <c r="B381" s="51" t="s">
        <v>137</v>
      </c>
      <c r="C381" s="118">
        <f t="shared" si="73"/>
        <v>0.1</v>
      </c>
      <c r="D381" s="118">
        <f t="shared" si="73"/>
        <v>0.1</v>
      </c>
      <c r="E381" s="118">
        <f t="shared" si="73"/>
        <v>0.1</v>
      </c>
      <c r="F381" s="118">
        <f t="shared" si="73"/>
        <v>0.1</v>
      </c>
      <c r="G381" s="118">
        <f t="shared" si="73"/>
        <v>0.1</v>
      </c>
      <c r="H381" s="118">
        <f t="shared" si="73"/>
        <v>0.1</v>
      </c>
      <c r="I381" s="118">
        <f t="shared" si="73"/>
        <v>0.1</v>
      </c>
      <c r="J381" s="118">
        <f t="shared" si="73"/>
        <v>0.1</v>
      </c>
      <c r="K381" s="118">
        <f t="shared" si="73"/>
        <v>0.1</v>
      </c>
      <c r="L381" s="118">
        <f t="shared" si="73"/>
        <v>0.1</v>
      </c>
      <c r="M381" s="118">
        <f t="shared" si="73"/>
        <v>0.1</v>
      </c>
      <c r="N381" s="118">
        <f t="shared" si="73"/>
        <v>0.1</v>
      </c>
      <c r="O381" s="118">
        <f t="shared" si="73"/>
        <v>0.1</v>
      </c>
      <c r="P381" s="118">
        <f t="shared" si="73"/>
        <v>0.1</v>
      </c>
      <c r="Q381" s="118">
        <f t="shared" si="73"/>
        <v>0.1</v>
      </c>
    </row>
    <row r="382" spans="1:19" ht="14.05" customHeight="1" x14ac:dyDescent="0.5">
      <c r="A382" s="51" t="s">
        <v>141</v>
      </c>
      <c r="B382" s="51" t="s">
        <v>140</v>
      </c>
      <c r="C382" s="118">
        <f t="shared" si="73"/>
        <v>0.1</v>
      </c>
      <c r="D382" s="118">
        <f t="shared" si="73"/>
        <v>0.1</v>
      </c>
      <c r="E382" s="118">
        <f t="shared" si="73"/>
        <v>0.1</v>
      </c>
      <c r="F382" s="118">
        <f t="shared" si="73"/>
        <v>0.1</v>
      </c>
      <c r="G382" s="118">
        <f t="shared" si="73"/>
        <v>0.1</v>
      </c>
      <c r="H382" s="118">
        <f t="shared" si="73"/>
        <v>0.1</v>
      </c>
      <c r="I382" s="118">
        <f t="shared" si="73"/>
        <v>0.1</v>
      </c>
      <c r="J382" s="118">
        <f t="shared" si="73"/>
        <v>0.1</v>
      </c>
      <c r="K382" s="118">
        <f t="shared" si="73"/>
        <v>0.1</v>
      </c>
      <c r="L382" s="118">
        <f t="shared" si="73"/>
        <v>0.1</v>
      </c>
      <c r="M382" s="118">
        <f t="shared" si="73"/>
        <v>0.1</v>
      </c>
      <c r="N382" s="118">
        <f t="shared" si="73"/>
        <v>0.1</v>
      </c>
      <c r="O382" s="118">
        <f t="shared" si="73"/>
        <v>0.1</v>
      </c>
      <c r="P382" s="118">
        <f t="shared" si="73"/>
        <v>0.1</v>
      </c>
      <c r="Q382" s="118">
        <f t="shared" si="73"/>
        <v>0.1</v>
      </c>
    </row>
    <row r="383" spans="1:19" ht="14.05" customHeight="1" x14ac:dyDescent="0.5">
      <c r="A383" s="51" t="s">
        <v>144</v>
      </c>
      <c r="B383" s="51" t="s">
        <v>143</v>
      </c>
      <c r="C383" s="118">
        <f t="shared" si="73"/>
        <v>0.1</v>
      </c>
      <c r="D383" s="118">
        <f t="shared" si="73"/>
        <v>0.1</v>
      </c>
      <c r="E383" s="118">
        <f t="shared" si="73"/>
        <v>0.1</v>
      </c>
      <c r="F383" s="118">
        <f t="shared" si="73"/>
        <v>0.1</v>
      </c>
      <c r="G383" s="118">
        <f t="shared" si="73"/>
        <v>0.1</v>
      </c>
      <c r="H383" s="118">
        <f t="shared" si="73"/>
        <v>0.1</v>
      </c>
      <c r="I383" s="118">
        <f t="shared" si="73"/>
        <v>0.1</v>
      </c>
      <c r="J383" s="118">
        <f t="shared" si="73"/>
        <v>0.1</v>
      </c>
      <c r="K383" s="118">
        <f t="shared" si="73"/>
        <v>0.1</v>
      </c>
      <c r="L383" s="118">
        <f t="shared" si="73"/>
        <v>0.1</v>
      </c>
      <c r="M383" s="118">
        <f t="shared" si="73"/>
        <v>0.1</v>
      </c>
      <c r="N383" s="118">
        <f t="shared" si="73"/>
        <v>0.1</v>
      </c>
      <c r="O383" s="118">
        <f t="shared" si="73"/>
        <v>0.1</v>
      </c>
      <c r="P383" s="118">
        <f t="shared" si="73"/>
        <v>0.1</v>
      </c>
      <c r="Q383" s="118">
        <f t="shared" si="73"/>
        <v>0.1</v>
      </c>
    </row>
    <row r="384" spans="1:19" ht="14.05" customHeight="1" x14ac:dyDescent="0.5">
      <c r="A384" s="51" t="s">
        <v>147</v>
      </c>
      <c r="B384" s="51" t="s">
        <v>146</v>
      </c>
      <c r="C384" s="118">
        <f t="shared" si="73"/>
        <v>0.1</v>
      </c>
      <c r="D384" s="118">
        <f t="shared" si="73"/>
        <v>0.1</v>
      </c>
      <c r="E384" s="118">
        <f t="shared" si="73"/>
        <v>0.1</v>
      </c>
      <c r="F384" s="118">
        <f t="shared" si="73"/>
        <v>0.1</v>
      </c>
      <c r="G384" s="118">
        <f t="shared" si="73"/>
        <v>0.1</v>
      </c>
      <c r="H384" s="118">
        <f t="shared" si="73"/>
        <v>0.1</v>
      </c>
      <c r="I384" s="118">
        <f t="shared" si="73"/>
        <v>0.1</v>
      </c>
      <c r="J384" s="118">
        <f t="shared" si="73"/>
        <v>0.1</v>
      </c>
      <c r="K384" s="118">
        <f t="shared" si="73"/>
        <v>0.1</v>
      </c>
      <c r="L384" s="118">
        <f t="shared" si="73"/>
        <v>0.1</v>
      </c>
      <c r="M384" s="118">
        <f t="shared" si="73"/>
        <v>0.1</v>
      </c>
      <c r="N384" s="118">
        <f t="shared" si="73"/>
        <v>0.1</v>
      </c>
      <c r="O384" s="118">
        <f t="shared" si="73"/>
        <v>0.1</v>
      </c>
      <c r="P384" s="118">
        <f t="shared" si="73"/>
        <v>0.1</v>
      </c>
      <c r="Q384" s="118">
        <f t="shared" si="73"/>
        <v>0.1</v>
      </c>
    </row>
    <row r="385" spans="1:19" ht="14.05" customHeight="1" x14ac:dyDescent="0.5">
      <c r="A385" s="51" t="s">
        <v>149</v>
      </c>
      <c r="B385" s="51" t="s">
        <v>148</v>
      </c>
      <c r="C385" s="118">
        <f t="shared" si="73"/>
        <v>0.1</v>
      </c>
      <c r="D385" s="118">
        <f t="shared" si="73"/>
        <v>0.1</v>
      </c>
      <c r="E385" s="118">
        <f t="shared" si="73"/>
        <v>0.1</v>
      </c>
      <c r="F385" s="118">
        <f t="shared" si="73"/>
        <v>0.1</v>
      </c>
      <c r="G385" s="118">
        <f t="shared" si="73"/>
        <v>0.1</v>
      </c>
      <c r="H385" s="118">
        <f t="shared" si="73"/>
        <v>0.1</v>
      </c>
      <c r="I385" s="118">
        <f t="shared" si="73"/>
        <v>0.1</v>
      </c>
      <c r="J385" s="118">
        <f t="shared" si="73"/>
        <v>0.1</v>
      </c>
      <c r="K385" s="118">
        <f t="shared" si="73"/>
        <v>0.1</v>
      </c>
      <c r="L385" s="118">
        <f t="shared" si="73"/>
        <v>0.1</v>
      </c>
      <c r="M385" s="118">
        <f t="shared" si="73"/>
        <v>0.1</v>
      </c>
      <c r="N385" s="118">
        <f t="shared" si="73"/>
        <v>0.1</v>
      </c>
      <c r="O385" s="118">
        <f t="shared" si="73"/>
        <v>0.1</v>
      </c>
      <c r="P385" s="118">
        <f t="shared" si="73"/>
        <v>0.1</v>
      </c>
      <c r="Q385" s="118">
        <f t="shared" si="73"/>
        <v>0.1</v>
      </c>
    </row>
    <row r="386" spans="1:19" ht="14.05" customHeight="1" x14ac:dyDescent="0.5">
      <c r="A386" s="51" t="s">
        <v>151</v>
      </c>
      <c r="B386" s="51" t="s">
        <v>150</v>
      </c>
      <c r="C386" s="118">
        <f t="shared" si="73"/>
        <v>0.1</v>
      </c>
      <c r="D386" s="118">
        <f t="shared" si="73"/>
        <v>0.1</v>
      </c>
      <c r="E386" s="118">
        <f t="shared" si="73"/>
        <v>0.1</v>
      </c>
      <c r="F386" s="118">
        <f t="shared" si="73"/>
        <v>0.1</v>
      </c>
      <c r="G386" s="118">
        <f t="shared" si="73"/>
        <v>0.1</v>
      </c>
      <c r="H386" s="118">
        <f t="shared" si="73"/>
        <v>0.1</v>
      </c>
      <c r="I386" s="118">
        <f t="shared" si="73"/>
        <v>0.1</v>
      </c>
      <c r="J386" s="118">
        <f t="shared" si="73"/>
        <v>0.1</v>
      </c>
      <c r="K386" s="118">
        <f t="shared" si="73"/>
        <v>0.1</v>
      </c>
      <c r="L386" s="118">
        <f t="shared" si="73"/>
        <v>0.1</v>
      </c>
      <c r="M386" s="118">
        <f t="shared" si="73"/>
        <v>0.1</v>
      </c>
      <c r="N386" s="118">
        <f t="shared" si="73"/>
        <v>0.1</v>
      </c>
      <c r="O386" s="118">
        <f t="shared" si="73"/>
        <v>0.1</v>
      </c>
      <c r="P386" s="118">
        <f t="shared" si="73"/>
        <v>0.1</v>
      </c>
      <c r="Q386" s="118">
        <f t="shared" si="73"/>
        <v>0.1</v>
      </c>
    </row>
    <row r="387" spans="1:19" ht="14.05" customHeight="1" x14ac:dyDescent="0.5">
      <c r="A387" s="51" t="s">
        <v>153</v>
      </c>
      <c r="B387" s="51" t="s">
        <v>152</v>
      </c>
      <c r="C387" s="118">
        <f t="shared" si="73"/>
        <v>0.1</v>
      </c>
      <c r="D387" s="118">
        <f t="shared" si="73"/>
        <v>0.1</v>
      </c>
      <c r="E387" s="118">
        <f t="shared" si="73"/>
        <v>0.1</v>
      </c>
      <c r="F387" s="118">
        <f t="shared" si="73"/>
        <v>0.1</v>
      </c>
      <c r="G387" s="118">
        <f t="shared" si="73"/>
        <v>0.1</v>
      </c>
      <c r="H387" s="118">
        <f t="shared" si="73"/>
        <v>0.1</v>
      </c>
      <c r="I387" s="118">
        <f t="shared" si="73"/>
        <v>0.1</v>
      </c>
      <c r="J387" s="118">
        <f t="shared" si="73"/>
        <v>0.1</v>
      </c>
      <c r="K387" s="118">
        <f t="shared" si="73"/>
        <v>0.1</v>
      </c>
      <c r="L387" s="118">
        <f t="shared" si="73"/>
        <v>0.1</v>
      </c>
      <c r="M387" s="118">
        <f t="shared" si="73"/>
        <v>0.1</v>
      </c>
      <c r="N387" s="118">
        <f t="shared" si="73"/>
        <v>0.1</v>
      </c>
      <c r="O387" s="118">
        <f t="shared" si="73"/>
        <v>0.1</v>
      </c>
      <c r="P387" s="118">
        <f t="shared" si="73"/>
        <v>0.1</v>
      </c>
      <c r="Q387" s="118">
        <f t="shared" si="73"/>
        <v>0.1</v>
      </c>
    </row>
    <row r="388" spans="1:19" ht="14.05" customHeight="1" x14ac:dyDescent="0.5">
      <c r="A388" s="51" t="s">
        <v>156</v>
      </c>
      <c r="B388" s="51" t="s">
        <v>155</v>
      </c>
      <c r="C388" s="118">
        <f t="shared" si="73"/>
        <v>0.1</v>
      </c>
      <c r="D388" s="118">
        <f t="shared" si="73"/>
        <v>0.1</v>
      </c>
      <c r="E388" s="118">
        <f t="shared" si="73"/>
        <v>0.1</v>
      </c>
      <c r="F388" s="118">
        <f t="shared" si="73"/>
        <v>0.1</v>
      </c>
      <c r="G388" s="118">
        <f t="shared" si="73"/>
        <v>0.1</v>
      </c>
      <c r="H388" s="118">
        <f t="shared" si="73"/>
        <v>0.1</v>
      </c>
      <c r="I388" s="118">
        <f t="shared" si="73"/>
        <v>0.1</v>
      </c>
      <c r="J388" s="118">
        <f t="shared" si="73"/>
        <v>0.1</v>
      </c>
      <c r="K388" s="118">
        <f t="shared" si="73"/>
        <v>0.1</v>
      </c>
      <c r="L388" s="118">
        <f t="shared" si="73"/>
        <v>0.1</v>
      </c>
      <c r="M388" s="118">
        <f t="shared" si="73"/>
        <v>0.1</v>
      </c>
      <c r="N388" s="118">
        <f t="shared" si="73"/>
        <v>0.1</v>
      </c>
      <c r="O388" s="118">
        <f t="shared" si="73"/>
        <v>0.1</v>
      </c>
      <c r="P388" s="118">
        <f t="shared" si="73"/>
        <v>0.1</v>
      </c>
      <c r="Q388" s="118">
        <f t="shared" si="73"/>
        <v>0.1</v>
      </c>
    </row>
    <row r="389" spans="1:19" ht="14.05" customHeight="1" x14ac:dyDescent="0.5">
      <c r="A389" s="51" t="s">
        <v>159</v>
      </c>
      <c r="B389" s="51" t="s">
        <v>158</v>
      </c>
      <c r="C389" s="118">
        <f t="shared" si="73"/>
        <v>0.1</v>
      </c>
      <c r="D389" s="118">
        <f t="shared" si="73"/>
        <v>0.1</v>
      </c>
      <c r="E389" s="118">
        <f t="shared" si="73"/>
        <v>0.1</v>
      </c>
      <c r="F389" s="118">
        <f t="shared" si="73"/>
        <v>0.1</v>
      </c>
      <c r="G389" s="118">
        <f t="shared" si="73"/>
        <v>0.1</v>
      </c>
      <c r="H389" s="118">
        <f t="shared" si="73"/>
        <v>0.1</v>
      </c>
      <c r="I389" s="118">
        <f t="shared" si="73"/>
        <v>0.1</v>
      </c>
      <c r="J389" s="118">
        <f t="shared" si="73"/>
        <v>0.1</v>
      </c>
      <c r="K389" s="118">
        <f t="shared" si="73"/>
        <v>0.1</v>
      </c>
      <c r="L389" s="118">
        <f t="shared" si="73"/>
        <v>0.1</v>
      </c>
      <c r="M389" s="118">
        <f t="shared" si="73"/>
        <v>0.1</v>
      </c>
      <c r="N389" s="118">
        <f t="shared" si="73"/>
        <v>0.1</v>
      </c>
      <c r="O389" s="118">
        <f t="shared" si="73"/>
        <v>0.1</v>
      </c>
      <c r="P389" s="118">
        <f t="shared" si="73"/>
        <v>0.1</v>
      </c>
      <c r="Q389" s="118">
        <f t="shared" si="73"/>
        <v>0.1</v>
      </c>
    </row>
    <row r="390" spans="1:19" ht="14.05" customHeight="1" x14ac:dyDescent="0.5">
      <c r="A390" s="51" t="s">
        <v>161</v>
      </c>
      <c r="B390" s="51" t="s">
        <v>160</v>
      </c>
      <c r="C390" s="118">
        <f t="shared" si="73"/>
        <v>0.1</v>
      </c>
      <c r="D390" s="118">
        <f t="shared" si="73"/>
        <v>0.1</v>
      </c>
      <c r="E390" s="118">
        <f t="shared" si="73"/>
        <v>0.1</v>
      </c>
      <c r="F390" s="118">
        <f t="shared" si="73"/>
        <v>0.1</v>
      </c>
      <c r="G390" s="118">
        <f t="shared" si="73"/>
        <v>0.1</v>
      </c>
      <c r="H390" s="118">
        <f t="shared" si="73"/>
        <v>0.1</v>
      </c>
      <c r="I390" s="118">
        <f t="shared" si="73"/>
        <v>0.1</v>
      </c>
      <c r="J390" s="118">
        <f t="shared" si="73"/>
        <v>0.1</v>
      </c>
      <c r="K390" s="118">
        <f t="shared" si="73"/>
        <v>0.1</v>
      </c>
      <c r="L390" s="118">
        <f t="shared" si="73"/>
        <v>0.1</v>
      </c>
      <c r="M390" s="118">
        <f t="shared" si="73"/>
        <v>0.1</v>
      </c>
      <c r="N390" s="118">
        <f t="shared" si="73"/>
        <v>0.1</v>
      </c>
      <c r="O390" s="118">
        <f t="shared" si="73"/>
        <v>0.1</v>
      </c>
      <c r="P390" s="118">
        <f t="shared" si="73"/>
        <v>0.1</v>
      </c>
      <c r="Q390" s="118">
        <f t="shared" si="73"/>
        <v>0.1</v>
      </c>
    </row>
    <row r="391" spans="1:19" ht="14.05" customHeight="1" x14ac:dyDescent="0.5">
      <c r="A391" s="51" t="s">
        <v>163</v>
      </c>
      <c r="B391" s="51" t="s">
        <v>162</v>
      </c>
      <c r="C391" s="118">
        <f t="shared" ref="C391:Q396" si="74">MAX(C351*$C$58, 10%)</f>
        <v>0.1</v>
      </c>
      <c r="D391" s="118">
        <f t="shared" si="74"/>
        <v>0.1</v>
      </c>
      <c r="E391" s="118">
        <f t="shared" si="74"/>
        <v>0.1</v>
      </c>
      <c r="F391" s="118">
        <f t="shared" si="74"/>
        <v>0.1</v>
      </c>
      <c r="G391" s="118">
        <f t="shared" si="74"/>
        <v>0.1</v>
      </c>
      <c r="H391" s="118">
        <f t="shared" si="74"/>
        <v>0.1</v>
      </c>
      <c r="I391" s="118">
        <f t="shared" si="74"/>
        <v>0.1</v>
      </c>
      <c r="J391" s="118">
        <f t="shared" si="74"/>
        <v>0.1</v>
      </c>
      <c r="K391" s="118">
        <f t="shared" si="74"/>
        <v>0.1</v>
      </c>
      <c r="L391" s="118">
        <f t="shared" si="74"/>
        <v>0.1</v>
      </c>
      <c r="M391" s="118">
        <f t="shared" si="74"/>
        <v>0.1</v>
      </c>
      <c r="N391" s="118">
        <f t="shared" si="74"/>
        <v>0.1</v>
      </c>
      <c r="O391" s="118">
        <f t="shared" si="74"/>
        <v>0.1</v>
      </c>
      <c r="P391" s="118">
        <f t="shared" si="74"/>
        <v>0.1</v>
      </c>
      <c r="Q391" s="118">
        <f t="shared" si="74"/>
        <v>0.1</v>
      </c>
    </row>
    <row r="392" spans="1:19" ht="14.05" customHeight="1" x14ac:dyDescent="0.5">
      <c r="A392" s="51" t="s">
        <v>166</v>
      </c>
      <c r="B392" s="51" t="s">
        <v>165</v>
      </c>
      <c r="C392" s="118">
        <f t="shared" si="74"/>
        <v>0.1</v>
      </c>
      <c r="D392" s="118">
        <f t="shared" si="74"/>
        <v>0.1</v>
      </c>
      <c r="E392" s="118">
        <f t="shared" si="74"/>
        <v>0.1</v>
      </c>
      <c r="F392" s="118">
        <f t="shared" si="74"/>
        <v>0.1</v>
      </c>
      <c r="G392" s="118">
        <f t="shared" si="74"/>
        <v>0.1</v>
      </c>
      <c r="H392" s="118">
        <f t="shared" si="74"/>
        <v>0.1</v>
      </c>
      <c r="I392" s="118">
        <f t="shared" si="74"/>
        <v>0.1</v>
      </c>
      <c r="J392" s="118">
        <f t="shared" si="74"/>
        <v>0.1</v>
      </c>
      <c r="K392" s="118">
        <f t="shared" si="74"/>
        <v>0.1</v>
      </c>
      <c r="L392" s="118">
        <f t="shared" si="74"/>
        <v>0.1</v>
      </c>
      <c r="M392" s="118">
        <f t="shared" si="74"/>
        <v>0.1</v>
      </c>
      <c r="N392" s="118">
        <f t="shared" si="74"/>
        <v>0.1</v>
      </c>
      <c r="O392" s="118">
        <f t="shared" si="74"/>
        <v>0.1</v>
      </c>
      <c r="P392" s="118">
        <f t="shared" si="74"/>
        <v>0.1</v>
      </c>
      <c r="Q392" s="118">
        <f t="shared" si="74"/>
        <v>0.1</v>
      </c>
    </row>
    <row r="393" spans="1:19" ht="14.05" customHeight="1" x14ac:dyDescent="0.5">
      <c r="A393" s="51" t="s">
        <v>169</v>
      </c>
      <c r="B393" s="51" t="s">
        <v>168</v>
      </c>
      <c r="C393" s="118">
        <f t="shared" si="74"/>
        <v>0.1</v>
      </c>
      <c r="D393" s="118">
        <f t="shared" si="74"/>
        <v>0.1</v>
      </c>
      <c r="E393" s="118">
        <f t="shared" si="74"/>
        <v>0.1</v>
      </c>
      <c r="F393" s="118">
        <f t="shared" si="74"/>
        <v>0.1</v>
      </c>
      <c r="G393" s="118">
        <f t="shared" si="74"/>
        <v>0.1</v>
      </c>
      <c r="H393" s="118">
        <f t="shared" si="74"/>
        <v>0.1</v>
      </c>
      <c r="I393" s="118">
        <f t="shared" si="74"/>
        <v>0.1</v>
      </c>
      <c r="J393" s="118">
        <f t="shared" si="74"/>
        <v>0.1</v>
      </c>
      <c r="K393" s="118">
        <f t="shared" si="74"/>
        <v>0.1</v>
      </c>
      <c r="L393" s="118">
        <f t="shared" si="74"/>
        <v>0.1</v>
      </c>
      <c r="M393" s="118">
        <f t="shared" si="74"/>
        <v>0.1</v>
      </c>
      <c r="N393" s="118">
        <f t="shared" si="74"/>
        <v>0.1</v>
      </c>
      <c r="O393" s="118">
        <f t="shared" si="74"/>
        <v>0.1</v>
      </c>
      <c r="P393" s="118">
        <f t="shared" si="74"/>
        <v>0.1</v>
      </c>
      <c r="Q393" s="118">
        <f t="shared" si="74"/>
        <v>0.1</v>
      </c>
    </row>
    <row r="394" spans="1:19" ht="14.05" customHeight="1" x14ac:dyDescent="0.5">
      <c r="A394" s="51" t="s">
        <v>171</v>
      </c>
      <c r="B394" s="51" t="s">
        <v>170</v>
      </c>
      <c r="C394" s="118">
        <f t="shared" si="74"/>
        <v>0.1</v>
      </c>
      <c r="D394" s="118">
        <f t="shared" si="74"/>
        <v>0.1</v>
      </c>
      <c r="E394" s="118">
        <f t="shared" si="74"/>
        <v>0.1</v>
      </c>
      <c r="F394" s="118">
        <f t="shared" si="74"/>
        <v>0.1</v>
      </c>
      <c r="G394" s="118">
        <f t="shared" si="74"/>
        <v>0.1</v>
      </c>
      <c r="H394" s="118">
        <f t="shared" si="74"/>
        <v>0.1</v>
      </c>
      <c r="I394" s="118">
        <f t="shared" si="74"/>
        <v>0.1</v>
      </c>
      <c r="J394" s="118">
        <f t="shared" si="74"/>
        <v>0.1</v>
      </c>
      <c r="K394" s="118">
        <f t="shared" si="74"/>
        <v>0.1</v>
      </c>
      <c r="L394" s="118">
        <f t="shared" si="74"/>
        <v>0.1</v>
      </c>
      <c r="M394" s="118">
        <f t="shared" si="74"/>
        <v>0.1</v>
      </c>
      <c r="N394" s="118">
        <f t="shared" si="74"/>
        <v>0.1</v>
      </c>
      <c r="O394" s="118">
        <f t="shared" si="74"/>
        <v>0.1</v>
      </c>
      <c r="P394" s="118">
        <f t="shared" si="74"/>
        <v>0.1</v>
      </c>
      <c r="Q394" s="118">
        <f t="shared" si="74"/>
        <v>0.1</v>
      </c>
    </row>
    <row r="395" spans="1:19" ht="14.05" customHeight="1" x14ac:dyDescent="0.5">
      <c r="A395" s="51" t="s">
        <v>173</v>
      </c>
      <c r="B395" s="51" t="s">
        <v>172</v>
      </c>
      <c r="C395" s="118">
        <f t="shared" si="74"/>
        <v>0.1</v>
      </c>
      <c r="D395" s="118">
        <f t="shared" si="74"/>
        <v>0.1</v>
      </c>
      <c r="E395" s="118">
        <f t="shared" si="74"/>
        <v>0.1</v>
      </c>
      <c r="F395" s="118">
        <f t="shared" si="74"/>
        <v>0.1</v>
      </c>
      <c r="G395" s="118">
        <f t="shared" si="74"/>
        <v>0.1</v>
      </c>
      <c r="H395" s="118">
        <f t="shared" si="74"/>
        <v>0.1</v>
      </c>
      <c r="I395" s="118">
        <f t="shared" si="74"/>
        <v>0.1</v>
      </c>
      <c r="J395" s="118">
        <f t="shared" si="74"/>
        <v>0.1</v>
      </c>
      <c r="K395" s="118">
        <f t="shared" si="74"/>
        <v>0.1</v>
      </c>
      <c r="L395" s="118">
        <f t="shared" si="74"/>
        <v>0.1</v>
      </c>
      <c r="M395" s="118">
        <f t="shared" si="74"/>
        <v>0.1</v>
      </c>
      <c r="N395" s="118">
        <f t="shared" si="74"/>
        <v>0.1</v>
      </c>
      <c r="O395" s="118">
        <f t="shared" si="74"/>
        <v>0.1</v>
      </c>
      <c r="P395" s="118">
        <f t="shared" si="74"/>
        <v>0.1</v>
      </c>
      <c r="Q395" s="118">
        <f t="shared" si="74"/>
        <v>0.1</v>
      </c>
    </row>
    <row r="396" spans="1:19" ht="14.05" customHeight="1" x14ac:dyDescent="0.5">
      <c r="A396" s="51" t="s">
        <v>175</v>
      </c>
      <c r="B396" s="51" t="s">
        <v>174</v>
      </c>
      <c r="C396" s="118">
        <f t="shared" si="74"/>
        <v>0.1</v>
      </c>
      <c r="D396" s="118">
        <f t="shared" si="74"/>
        <v>0.1</v>
      </c>
      <c r="E396" s="118">
        <f t="shared" si="74"/>
        <v>0.1</v>
      </c>
      <c r="F396" s="118">
        <f t="shared" si="74"/>
        <v>0.1</v>
      </c>
      <c r="G396" s="118">
        <f t="shared" si="74"/>
        <v>0.1</v>
      </c>
      <c r="H396" s="118">
        <f t="shared" si="74"/>
        <v>0.1</v>
      </c>
      <c r="I396" s="118">
        <f t="shared" si="74"/>
        <v>0.1</v>
      </c>
      <c r="J396" s="118">
        <f t="shared" si="74"/>
        <v>0.1</v>
      </c>
      <c r="K396" s="118">
        <f t="shared" si="74"/>
        <v>0.1</v>
      </c>
      <c r="L396" s="118">
        <f t="shared" si="74"/>
        <v>0.1</v>
      </c>
      <c r="M396" s="118">
        <f t="shared" si="74"/>
        <v>0.1</v>
      </c>
      <c r="N396" s="118">
        <f t="shared" si="74"/>
        <v>0.1</v>
      </c>
      <c r="O396" s="118">
        <f t="shared" si="74"/>
        <v>0.1</v>
      </c>
      <c r="P396" s="118">
        <f t="shared" si="74"/>
        <v>0.1</v>
      </c>
      <c r="Q396" s="118">
        <f t="shared" si="74"/>
        <v>0.1</v>
      </c>
      <c r="S396" s="3" t="s">
        <v>194</v>
      </c>
    </row>
    <row r="397" spans="1:19" ht="14.05" customHeight="1" x14ac:dyDescent="0.5">
      <c r="A397" s="51" t="s">
        <v>178</v>
      </c>
      <c r="B397" s="51" t="s">
        <v>177</v>
      </c>
      <c r="C397" s="118">
        <v>0.1</v>
      </c>
      <c r="D397" s="118">
        <v>0.1</v>
      </c>
      <c r="E397" s="118">
        <v>0.1</v>
      </c>
      <c r="F397" s="118">
        <v>0.1</v>
      </c>
      <c r="G397" s="118">
        <v>0.1</v>
      </c>
      <c r="H397" s="118">
        <v>0.1</v>
      </c>
      <c r="I397" s="118">
        <v>0.1</v>
      </c>
      <c r="J397" s="118">
        <v>0.1</v>
      </c>
      <c r="K397" s="118">
        <v>0.1</v>
      </c>
      <c r="L397" s="118">
        <v>0.1</v>
      </c>
      <c r="M397" s="118">
        <v>0.1</v>
      </c>
      <c r="N397" s="118">
        <v>0.1</v>
      </c>
      <c r="O397" s="118">
        <v>0.1</v>
      </c>
      <c r="P397" s="118">
        <v>0.1</v>
      </c>
      <c r="Q397" s="118">
        <v>0.1</v>
      </c>
    </row>
    <row r="398" spans="1:19" ht="14.05" customHeight="1" x14ac:dyDescent="0.5">
      <c r="A398" s="51" t="s">
        <v>180</v>
      </c>
      <c r="B398" s="51" t="s">
        <v>179</v>
      </c>
      <c r="C398" s="118">
        <v>0.1</v>
      </c>
      <c r="D398" s="118">
        <v>0.1</v>
      </c>
      <c r="E398" s="118">
        <v>0.1</v>
      </c>
      <c r="F398" s="118">
        <v>0.1</v>
      </c>
      <c r="G398" s="118">
        <v>0.1</v>
      </c>
      <c r="H398" s="118">
        <v>0.1</v>
      </c>
      <c r="I398" s="118">
        <v>0.1</v>
      </c>
      <c r="J398" s="118">
        <v>0.1</v>
      </c>
      <c r="K398" s="118">
        <v>0.1</v>
      </c>
      <c r="L398" s="118">
        <v>0.1</v>
      </c>
      <c r="M398" s="118">
        <v>0.1</v>
      </c>
      <c r="N398" s="118">
        <v>0.1</v>
      </c>
      <c r="O398" s="118">
        <v>0.1</v>
      </c>
      <c r="P398" s="118">
        <v>0.1</v>
      </c>
      <c r="Q398" s="118">
        <v>0.1</v>
      </c>
    </row>
    <row r="399" spans="1:19" ht="14.05" customHeight="1" x14ac:dyDescent="0.5">
      <c r="A399" s="51" t="s">
        <v>182</v>
      </c>
      <c r="B399" s="51" t="s">
        <v>181</v>
      </c>
      <c r="C399" s="118">
        <v>1</v>
      </c>
      <c r="D399" s="118">
        <v>1</v>
      </c>
      <c r="E399" s="118">
        <v>1</v>
      </c>
      <c r="F399" s="118">
        <v>1</v>
      </c>
      <c r="G399" s="118">
        <v>1</v>
      </c>
      <c r="H399" s="118">
        <v>1</v>
      </c>
      <c r="I399" s="118">
        <v>1</v>
      </c>
      <c r="J399" s="118">
        <v>1</v>
      </c>
      <c r="K399" s="118">
        <v>1</v>
      </c>
      <c r="L399" s="118">
        <v>1</v>
      </c>
      <c r="M399" s="118">
        <v>1</v>
      </c>
      <c r="N399" s="118">
        <v>1</v>
      </c>
      <c r="O399" s="118">
        <v>1</v>
      </c>
      <c r="P399" s="118">
        <v>1</v>
      </c>
      <c r="Q399" s="118">
        <v>1</v>
      </c>
    </row>
    <row r="400" spans="1:19" ht="14.05" customHeight="1" x14ac:dyDescent="0.5">
      <c r="A400" s="51" t="s">
        <v>184</v>
      </c>
      <c r="B400" s="51" t="s">
        <v>183</v>
      </c>
      <c r="C400" s="118">
        <v>0.6</v>
      </c>
      <c r="D400" s="118">
        <v>0.4</v>
      </c>
      <c r="E400" s="118">
        <v>0.4</v>
      </c>
      <c r="F400" s="118">
        <v>0.4</v>
      </c>
      <c r="G400" s="118">
        <v>0.4</v>
      </c>
      <c r="H400" s="118">
        <v>0.4</v>
      </c>
      <c r="I400" s="118">
        <v>0.6</v>
      </c>
      <c r="J400" s="118">
        <v>0.4</v>
      </c>
      <c r="K400" s="118">
        <v>0.4</v>
      </c>
      <c r="L400" s="118">
        <v>0.4</v>
      </c>
      <c r="M400" s="118">
        <v>0.4</v>
      </c>
      <c r="N400" s="118">
        <v>0.4</v>
      </c>
      <c r="O400" s="118">
        <v>0.6</v>
      </c>
      <c r="P400" s="118">
        <v>0.6</v>
      </c>
      <c r="Q400" s="118">
        <v>0.8</v>
      </c>
      <c r="S400" s="3" t="s">
        <v>195</v>
      </c>
    </row>
    <row r="401" spans="1:52" ht="14.05" customHeight="1" x14ac:dyDescent="0.5">
      <c r="A401" s="51" t="s">
        <v>186</v>
      </c>
      <c r="B401" s="51" t="s">
        <v>185</v>
      </c>
      <c r="C401" s="118">
        <v>0.4</v>
      </c>
      <c r="D401" s="118">
        <v>0.4</v>
      </c>
      <c r="E401" s="118">
        <v>0.4</v>
      </c>
      <c r="F401" s="118">
        <v>0.4</v>
      </c>
      <c r="G401" s="118">
        <v>0.4</v>
      </c>
      <c r="H401" s="118">
        <v>0.4</v>
      </c>
      <c r="I401" s="118">
        <v>0.4</v>
      </c>
      <c r="J401" s="118">
        <v>0.4</v>
      </c>
      <c r="K401" s="118">
        <v>0.4</v>
      </c>
      <c r="L401" s="118">
        <v>0.4</v>
      </c>
      <c r="M401" s="118">
        <v>0.4</v>
      </c>
      <c r="N401" s="118">
        <v>0.4</v>
      </c>
      <c r="O401" s="118">
        <v>0.4</v>
      </c>
      <c r="P401" s="118">
        <v>0.4</v>
      </c>
      <c r="Q401" s="118">
        <v>0.4</v>
      </c>
    </row>
    <row r="402" spans="1:52" ht="14.05" customHeight="1" x14ac:dyDescent="0.5">
      <c r="A402" s="51" t="s">
        <v>188</v>
      </c>
      <c r="B402" s="51" t="s">
        <v>187</v>
      </c>
      <c r="C402" s="118">
        <v>0.7</v>
      </c>
      <c r="D402" s="118">
        <v>0.7</v>
      </c>
      <c r="E402" s="118">
        <v>0.7</v>
      </c>
      <c r="F402" s="118">
        <v>0.7</v>
      </c>
      <c r="G402" s="118">
        <v>0.7</v>
      </c>
      <c r="H402" s="118">
        <v>0.7</v>
      </c>
      <c r="I402" s="118">
        <v>0.7</v>
      </c>
      <c r="J402" s="118">
        <v>0.7</v>
      </c>
      <c r="K402" s="118">
        <v>0.7</v>
      </c>
      <c r="L402" s="118">
        <v>0.7</v>
      </c>
      <c r="M402" s="118">
        <v>0.7</v>
      </c>
      <c r="N402" s="118">
        <v>0.7</v>
      </c>
      <c r="O402" s="118">
        <v>0.7</v>
      </c>
      <c r="P402" s="118">
        <v>0.7</v>
      </c>
      <c r="Q402" s="118">
        <v>0.7</v>
      </c>
    </row>
    <row r="405" spans="1:52" ht="14.05" customHeight="1" x14ac:dyDescent="0.5">
      <c r="A405" s="52" t="s">
        <v>199</v>
      </c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3"/>
      <c r="AK405" s="53"/>
      <c r="AL405" s="53"/>
      <c r="AM405" s="53"/>
      <c r="AN405" s="53"/>
      <c r="AO405" s="53"/>
      <c r="AP405" s="53"/>
      <c r="AQ405" s="53"/>
      <c r="AR405" s="53"/>
      <c r="AS405" s="53"/>
      <c r="AT405" s="53"/>
      <c r="AU405" s="53"/>
      <c r="AV405" s="53"/>
      <c r="AW405" s="53"/>
      <c r="AX405" s="53"/>
      <c r="AY405" s="53"/>
      <c r="AZ405" s="53"/>
    </row>
    <row r="407" spans="1:52" ht="78" customHeight="1" x14ac:dyDescent="0.5">
      <c r="A407" s="75" t="s">
        <v>200</v>
      </c>
      <c r="B407" s="75" t="s">
        <v>201</v>
      </c>
      <c r="C407" s="75" t="s">
        <v>202</v>
      </c>
      <c r="D407" s="75" t="s">
        <v>203</v>
      </c>
      <c r="E407" s="75" t="s">
        <v>204</v>
      </c>
      <c r="F407" s="75" t="s">
        <v>205</v>
      </c>
    </row>
    <row r="408" spans="1:52" ht="14.05" customHeight="1" x14ac:dyDescent="0.5">
      <c r="A408" s="61">
        <v>0</v>
      </c>
      <c r="B408" s="61"/>
      <c r="C408" s="120">
        <v>1</v>
      </c>
      <c r="D408" s="120">
        <v>0</v>
      </c>
      <c r="E408" s="121">
        <f>SUMPRODUCT(D409:D$470,A409:A$470)/C408</f>
        <v>3.5395529703402753</v>
      </c>
      <c r="F408" s="122">
        <f>E408-A408</f>
        <v>3.5395529703402753</v>
      </c>
    </row>
    <row r="409" spans="1:52" ht="14.05" customHeight="1" x14ac:dyDescent="0.5">
      <c r="A409" s="121">
        <f>1/12</f>
        <v>8.3333333333333329E-2</v>
      </c>
      <c r="B409" s="120">
        <v>0.95</v>
      </c>
      <c r="C409" s="123">
        <f>C408*B409</f>
        <v>0.95</v>
      </c>
      <c r="D409" s="123">
        <f>C408-C409</f>
        <v>5.0000000000000044E-2</v>
      </c>
      <c r="E409" s="121">
        <f>SUMPRODUCT(D410:D$470,A410:A$470)/C409</f>
        <v>3.7214592670248505</v>
      </c>
      <c r="F409" s="122">
        <f t="shared" ref="F409:F419" si="75">E409-A409</f>
        <v>3.638125933691517</v>
      </c>
    </row>
    <row r="410" spans="1:52" ht="14.05" customHeight="1" x14ac:dyDescent="0.5">
      <c r="A410" s="121">
        <f>A409+1/12</f>
        <v>0.16666666666666666</v>
      </c>
      <c r="B410" s="124">
        <f>B409</f>
        <v>0.95</v>
      </c>
      <c r="C410" s="123">
        <f t="shared" ref="C410:C419" si="76">C409*B410</f>
        <v>0.90249999999999997</v>
      </c>
      <c r="D410" s="123">
        <f t="shared" ref="D410:D419" si="77">C409-C410</f>
        <v>4.7499999999999987E-2</v>
      </c>
      <c r="E410" s="121">
        <f>SUMPRODUCT(D411:D$470,A411:A$470)/C410</f>
        <v>3.9085536144121233</v>
      </c>
      <c r="F410" s="122">
        <f t="shared" si="75"/>
        <v>3.7418869477454568</v>
      </c>
    </row>
    <row r="411" spans="1:52" ht="14.05" customHeight="1" x14ac:dyDescent="0.5">
      <c r="A411" s="121">
        <f t="shared" ref="A411:A419" si="78">A410+1/12</f>
        <v>0.25</v>
      </c>
      <c r="B411" s="120">
        <v>0.95</v>
      </c>
      <c r="C411" s="123">
        <f t="shared" si="76"/>
        <v>0.85737499999999989</v>
      </c>
      <c r="D411" s="123">
        <f t="shared" si="77"/>
        <v>4.5125000000000082E-2</v>
      </c>
      <c r="E411" s="121">
        <f>SUMPRODUCT(D412:D$470,A412:A$470)/C411</f>
        <v>4.1011090678022359</v>
      </c>
      <c r="F411" s="122">
        <f t="shared" si="75"/>
        <v>3.8511090678022359</v>
      </c>
    </row>
    <row r="412" spans="1:52" ht="14.05" customHeight="1" x14ac:dyDescent="0.5">
      <c r="A412" s="121">
        <f t="shared" si="78"/>
        <v>0.33333333333333331</v>
      </c>
      <c r="B412" s="124">
        <f t="shared" ref="B412:B419" si="79">B411</f>
        <v>0.95</v>
      </c>
      <c r="C412" s="123">
        <f t="shared" si="76"/>
        <v>0.81450624999999988</v>
      </c>
      <c r="D412" s="123">
        <f t="shared" si="77"/>
        <v>4.2868750000000011E-2</v>
      </c>
      <c r="E412" s="121">
        <f>SUMPRODUCT(D413:D$470,A413:A$470)/C412</f>
        <v>4.2994130538269149</v>
      </c>
      <c r="F412" s="122">
        <f t="shared" si="75"/>
        <v>3.9660797204935814</v>
      </c>
    </row>
    <row r="413" spans="1:52" ht="14.05" customHeight="1" x14ac:dyDescent="0.5">
      <c r="A413" s="121">
        <f t="shared" si="78"/>
        <v>0.41666666666666663</v>
      </c>
      <c r="B413" s="124">
        <f t="shared" si="79"/>
        <v>0.95</v>
      </c>
      <c r="C413" s="123">
        <f t="shared" si="76"/>
        <v>0.77378093749999988</v>
      </c>
      <c r="D413" s="123">
        <f t="shared" si="77"/>
        <v>4.0725312499999999E-2</v>
      </c>
      <c r="E413" s="121">
        <f>SUMPRODUCT(D414:D$470,A414:A$470)/C413</f>
        <v>4.5037681268353493</v>
      </c>
      <c r="F413" s="122">
        <f t="shared" si="75"/>
        <v>4.0871014601686824</v>
      </c>
    </row>
    <row r="414" spans="1:52" ht="14.05" customHeight="1" x14ac:dyDescent="0.5">
      <c r="A414" s="121">
        <f t="shared" si="78"/>
        <v>0.49999999999999994</v>
      </c>
      <c r="B414" s="120">
        <v>0.96</v>
      </c>
      <c r="C414" s="123">
        <f t="shared" si="76"/>
        <v>0.74282969999999982</v>
      </c>
      <c r="D414" s="123">
        <f t="shared" si="77"/>
        <v>3.0951237500000062E-2</v>
      </c>
      <c r="E414" s="121">
        <f>SUMPRODUCT(D415:D$470,A415:A$470)/C414</f>
        <v>4.6705917987868224</v>
      </c>
      <c r="F414" s="122">
        <f t="shared" si="75"/>
        <v>4.1705917987868224</v>
      </c>
    </row>
    <row r="415" spans="1:52" ht="14.05" customHeight="1" x14ac:dyDescent="0.5">
      <c r="A415" s="121">
        <f t="shared" si="78"/>
        <v>0.58333333333333326</v>
      </c>
      <c r="B415" s="124">
        <f t="shared" si="79"/>
        <v>0.96</v>
      </c>
      <c r="C415" s="123">
        <f t="shared" si="76"/>
        <v>0.71311651199999981</v>
      </c>
      <c r="D415" s="123">
        <f t="shared" si="77"/>
        <v>2.9713188000000001E-2</v>
      </c>
      <c r="E415" s="121">
        <f>SUMPRODUCT(D416:D$470,A416:A$470)/C415</f>
        <v>4.8408942348473847</v>
      </c>
      <c r="F415" s="122">
        <f t="shared" si="75"/>
        <v>4.2575609015140516</v>
      </c>
    </row>
    <row r="416" spans="1:52" ht="14.05" customHeight="1" x14ac:dyDescent="0.5">
      <c r="A416" s="121">
        <f>A415+1/12</f>
        <v>0.66666666666666663</v>
      </c>
      <c r="B416" s="124">
        <f t="shared" si="79"/>
        <v>0.96</v>
      </c>
      <c r="C416" s="123">
        <f t="shared" si="76"/>
        <v>0.68459185151999979</v>
      </c>
      <c r="D416" s="123">
        <f t="shared" si="77"/>
        <v>2.8524660480000019E-2</v>
      </c>
      <c r="E416" s="121">
        <f>SUMPRODUCT(D417:D$470,A417:A$470)/C416</f>
        <v>5.0148203835215819</v>
      </c>
      <c r="F416" s="122">
        <f t="shared" si="75"/>
        <v>4.3481537168549149</v>
      </c>
    </row>
    <row r="417" spans="1:6" ht="14.05" customHeight="1" x14ac:dyDescent="0.5">
      <c r="A417" s="121">
        <f t="shared" si="78"/>
        <v>0.75</v>
      </c>
      <c r="B417" s="120">
        <v>0.97</v>
      </c>
      <c r="C417" s="123">
        <f t="shared" si="76"/>
        <v>0.66405409597439979</v>
      </c>
      <c r="D417" s="123">
        <f t="shared" si="77"/>
        <v>2.05377555456E-2</v>
      </c>
      <c r="E417" s="121">
        <f>SUMPRODUCT(D418:D$470,A418:A$470)/C417</f>
        <v>5.1467220448676096</v>
      </c>
      <c r="F417" s="122">
        <f t="shared" si="75"/>
        <v>4.3967220448676096</v>
      </c>
    </row>
    <row r="418" spans="1:6" ht="14.05" customHeight="1" x14ac:dyDescent="0.5">
      <c r="A418" s="121">
        <f t="shared" si="78"/>
        <v>0.83333333333333337</v>
      </c>
      <c r="B418" s="124">
        <f t="shared" si="79"/>
        <v>0.97</v>
      </c>
      <c r="C418" s="123">
        <f t="shared" si="76"/>
        <v>0.64413247309516775</v>
      </c>
      <c r="D418" s="123">
        <f t="shared" si="77"/>
        <v>1.9921622879232048E-2</v>
      </c>
      <c r="E418" s="121">
        <f>SUMPRODUCT(D419:D$470,A419:A$470)/C418</f>
        <v>5.2801258194511442</v>
      </c>
      <c r="F418" s="122">
        <f t="shared" si="75"/>
        <v>4.4467924861178112</v>
      </c>
    </row>
    <row r="419" spans="1:6" ht="14.05" customHeight="1" x14ac:dyDescent="0.5">
      <c r="A419" s="121">
        <f t="shared" si="78"/>
        <v>0.91666666666666674</v>
      </c>
      <c r="B419" s="124">
        <f t="shared" si="79"/>
        <v>0.97</v>
      </c>
      <c r="C419" s="123">
        <f t="shared" si="76"/>
        <v>0.62480849890231271</v>
      </c>
      <c r="D419" s="123">
        <f t="shared" si="77"/>
        <v>1.9323974192855031E-2</v>
      </c>
      <c r="E419" s="121">
        <f>SUMPRODUCT(D420:D$470,A420:A$470)/C419</f>
        <v>5.4150781643826233</v>
      </c>
      <c r="F419" s="122">
        <f t="shared" si="75"/>
        <v>4.4984114977159564</v>
      </c>
    </row>
    <row r="420" spans="1:6" ht="14.05" customHeight="1" x14ac:dyDescent="0.5">
      <c r="A420" s="61">
        <f>A408+1</f>
        <v>1</v>
      </c>
      <c r="B420" s="120">
        <v>0.6</v>
      </c>
      <c r="C420" s="123">
        <f>C408*B420</f>
        <v>0.6</v>
      </c>
      <c r="D420" s="123">
        <f>C419-C420</f>
        <v>2.4808498902312737E-2</v>
      </c>
      <c r="E420" s="121">
        <f>SUMPRODUCT(D421:D$470,A421:A$470)/C420</f>
        <v>5.5976306007071415</v>
      </c>
      <c r="F420" s="122">
        <f t="shared" ref="F420:F451" si="80">E420-A420</f>
        <v>4.5976306007071415</v>
      </c>
    </row>
    <row r="421" spans="1:6" ht="14.05" customHeight="1" x14ac:dyDescent="0.5">
      <c r="A421" s="61">
        <f t="shared" ref="A421:A468" si="81">A420+1</f>
        <v>2</v>
      </c>
      <c r="B421" s="124">
        <f>B420</f>
        <v>0.6</v>
      </c>
      <c r="C421" s="123">
        <f t="shared" ref="C421:C469" si="82">C420*B421</f>
        <v>0.36</v>
      </c>
      <c r="D421" s="123">
        <f t="shared" ref="D421:D469" si="83">C420-C421</f>
        <v>0.24</v>
      </c>
      <c r="E421" s="121">
        <f>SUMPRODUCT(D422:D$470,A422:A$470)/C421</f>
        <v>7.9960510011785724</v>
      </c>
      <c r="F421" s="122">
        <f t="shared" si="80"/>
        <v>5.9960510011785724</v>
      </c>
    </row>
    <row r="422" spans="1:6" ht="14.05" customHeight="1" x14ac:dyDescent="0.5">
      <c r="A422" s="61">
        <f t="shared" si="81"/>
        <v>3</v>
      </c>
      <c r="B422" s="120">
        <v>0.7</v>
      </c>
      <c r="C422" s="123">
        <f t="shared" si="82"/>
        <v>0.252</v>
      </c>
      <c r="D422" s="123">
        <f t="shared" si="83"/>
        <v>0.10799999999999998</v>
      </c>
      <c r="E422" s="121">
        <f>SUMPRODUCT(D423:D$470,A423:A$470)/C422</f>
        <v>10.137215715969386</v>
      </c>
      <c r="F422" s="122">
        <f t="shared" si="80"/>
        <v>7.1372157159693863</v>
      </c>
    </row>
    <row r="423" spans="1:6" ht="14.05" customHeight="1" x14ac:dyDescent="0.5">
      <c r="A423" s="61">
        <f t="shared" si="81"/>
        <v>4</v>
      </c>
      <c r="B423" s="124">
        <f t="shared" ref="B423:B459" si="84">B422</f>
        <v>0.7</v>
      </c>
      <c r="C423" s="123">
        <f t="shared" si="82"/>
        <v>0.1764</v>
      </c>
      <c r="D423" s="123">
        <f t="shared" si="83"/>
        <v>7.5600000000000001E-2</v>
      </c>
      <c r="E423" s="121">
        <f>SUMPRODUCT(D424:D$470,A424:A$470)/C423</f>
        <v>12.767451022813406</v>
      </c>
      <c r="F423" s="122">
        <f t="shared" si="80"/>
        <v>8.7674510228134057</v>
      </c>
    </row>
    <row r="424" spans="1:6" ht="14.05" customHeight="1" x14ac:dyDescent="0.5">
      <c r="A424" s="61">
        <f t="shared" si="81"/>
        <v>5</v>
      </c>
      <c r="B424" s="124">
        <f t="shared" si="84"/>
        <v>0.7</v>
      </c>
      <c r="C424" s="123">
        <f t="shared" si="82"/>
        <v>0.12347999999999999</v>
      </c>
      <c r="D424" s="123">
        <f t="shared" si="83"/>
        <v>5.2920000000000009E-2</v>
      </c>
      <c r="E424" s="121">
        <f>SUMPRODUCT(D425:D$470,A425:A$470)/C424</f>
        <v>16.096358604019152</v>
      </c>
      <c r="F424" s="122">
        <f t="shared" si="80"/>
        <v>11.096358604019152</v>
      </c>
    </row>
    <row r="425" spans="1:6" ht="14.05" customHeight="1" x14ac:dyDescent="0.5">
      <c r="A425" s="61">
        <f t="shared" si="81"/>
        <v>6</v>
      </c>
      <c r="B425" s="120">
        <v>0.85</v>
      </c>
      <c r="C425" s="123">
        <f t="shared" si="82"/>
        <v>0.104958</v>
      </c>
      <c r="D425" s="123">
        <f t="shared" si="83"/>
        <v>1.8521999999999997E-2</v>
      </c>
      <c r="E425" s="121">
        <f>SUMPRODUCT(D426:D$470,A426:A$470)/C425</f>
        <v>17.878068945904882</v>
      </c>
      <c r="F425" s="122">
        <f t="shared" si="80"/>
        <v>11.878068945904882</v>
      </c>
    </row>
    <row r="426" spans="1:6" ht="14.05" customHeight="1" x14ac:dyDescent="0.5">
      <c r="A426" s="61">
        <f t="shared" si="81"/>
        <v>7</v>
      </c>
      <c r="B426" s="124">
        <f t="shared" si="84"/>
        <v>0.85</v>
      </c>
      <c r="C426" s="123">
        <f t="shared" si="82"/>
        <v>8.9214299999999996E-2</v>
      </c>
      <c r="D426" s="123">
        <f t="shared" si="83"/>
        <v>1.5743699999999999E-2</v>
      </c>
      <c r="E426" s="121">
        <f>SUMPRODUCT(D427:D$470,A427:A$470)/C426</f>
        <v>19.797728171652803</v>
      </c>
      <c r="F426" s="122">
        <f t="shared" si="80"/>
        <v>12.797728171652803</v>
      </c>
    </row>
    <row r="427" spans="1:6" ht="14.05" customHeight="1" x14ac:dyDescent="0.5">
      <c r="A427" s="61">
        <f t="shared" si="81"/>
        <v>8</v>
      </c>
      <c r="B427" s="124">
        <f t="shared" si="84"/>
        <v>0.85</v>
      </c>
      <c r="C427" s="123">
        <f t="shared" si="82"/>
        <v>7.5832154999999998E-2</v>
      </c>
      <c r="D427" s="123">
        <f t="shared" si="83"/>
        <v>1.3382144999999998E-2</v>
      </c>
      <c r="E427" s="121">
        <f>SUMPRODUCT(D428:D$470,A428:A$470)/C427</f>
        <v>21.879680201944481</v>
      </c>
      <c r="F427" s="122">
        <f t="shared" si="80"/>
        <v>13.879680201944481</v>
      </c>
    </row>
    <row r="428" spans="1:6" ht="14.05" customHeight="1" x14ac:dyDescent="0.5">
      <c r="A428" s="61">
        <f t="shared" si="81"/>
        <v>9</v>
      </c>
      <c r="B428" s="124">
        <f t="shared" si="84"/>
        <v>0.85</v>
      </c>
      <c r="C428" s="123">
        <f t="shared" si="82"/>
        <v>6.4457331749999999E-2</v>
      </c>
      <c r="D428" s="123">
        <f t="shared" si="83"/>
        <v>1.1374823249999999E-2</v>
      </c>
      <c r="E428" s="121">
        <f>SUMPRODUCT(D429:D$470,A429:A$470)/C428</f>
        <v>24.152564943464089</v>
      </c>
      <c r="F428" s="122">
        <f t="shared" si="80"/>
        <v>15.152564943464089</v>
      </c>
    </row>
    <row r="429" spans="1:6" ht="14.05" customHeight="1" x14ac:dyDescent="0.5">
      <c r="A429" s="61">
        <f t="shared" si="81"/>
        <v>10</v>
      </c>
      <c r="B429" s="124">
        <f t="shared" si="84"/>
        <v>0.85</v>
      </c>
      <c r="C429" s="123">
        <f t="shared" si="82"/>
        <v>5.4788731987499999E-2</v>
      </c>
      <c r="D429" s="123">
        <f t="shared" si="83"/>
        <v>9.6685997625000006E-3</v>
      </c>
      <c r="E429" s="121">
        <f>SUMPRODUCT(D430:D$470,A430:A$470)/C429</f>
        <v>26.650076404075399</v>
      </c>
      <c r="F429" s="122">
        <f t="shared" si="80"/>
        <v>16.650076404075399</v>
      </c>
    </row>
    <row r="430" spans="1:6" ht="14.05" customHeight="1" x14ac:dyDescent="0.5">
      <c r="A430" s="61">
        <f t="shared" si="81"/>
        <v>11</v>
      </c>
      <c r="B430" s="120">
        <v>0.95</v>
      </c>
      <c r="C430" s="123">
        <f t="shared" si="82"/>
        <v>5.2049295388124993E-2</v>
      </c>
      <c r="D430" s="123">
        <f t="shared" si="83"/>
        <v>2.7394365993750058E-3</v>
      </c>
      <c r="E430" s="121">
        <f>SUMPRODUCT(D431:D$470,A431:A$470)/C430</f>
        <v>27.473764635868847</v>
      </c>
      <c r="F430" s="122">
        <f t="shared" si="80"/>
        <v>16.473764635868847</v>
      </c>
    </row>
    <row r="431" spans="1:6" ht="14.05" customHeight="1" x14ac:dyDescent="0.5">
      <c r="A431" s="61">
        <f t="shared" si="81"/>
        <v>12</v>
      </c>
      <c r="B431" s="124">
        <f t="shared" si="84"/>
        <v>0.95</v>
      </c>
      <c r="C431" s="123">
        <f t="shared" si="82"/>
        <v>4.944683061871874E-2</v>
      </c>
      <c r="D431" s="123">
        <f t="shared" si="83"/>
        <v>2.6024647694062528E-3</v>
      </c>
      <c r="E431" s="121">
        <f>SUMPRODUCT(D432:D$470,A432:A$470)/C431</f>
        <v>28.288173300914575</v>
      </c>
      <c r="F431" s="122">
        <f t="shared" si="80"/>
        <v>16.288173300914575</v>
      </c>
    </row>
    <row r="432" spans="1:6" ht="14.05" customHeight="1" x14ac:dyDescent="0.5">
      <c r="A432" s="61">
        <f t="shared" si="81"/>
        <v>13</v>
      </c>
      <c r="B432" s="124">
        <f t="shared" si="84"/>
        <v>0.95</v>
      </c>
      <c r="C432" s="123">
        <f t="shared" si="82"/>
        <v>4.6974489087782803E-2</v>
      </c>
      <c r="D432" s="123">
        <f t="shared" si="83"/>
        <v>2.472341530935937E-3</v>
      </c>
      <c r="E432" s="121">
        <f>SUMPRODUCT(D433:D$470,A433:A$470)/C432</f>
        <v>29.092814000962711</v>
      </c>
      <c r="F432" s="122">
        <f t="shared" si="80"/>
        <v>16.092814000962711</v>
      </c>
    </row>
    <row r="433" spans="1:6" ht="14.05" customHeight="1" x14ac:dyDescent="0.5">
      <c r="A433" s="61">
        <f t="shared" si="81"/>
        <v>14</v>
      </c>
      <c r="B433" s="124">
        <f t="shared" si="84"/>
        <v>0.95</v>
      </c>
      <c r="C433" s="123">
        <f t="shared" si="82"/>
        <v>4.4625764633393662E-2</v>
      </c>
      <c r="D433" s="123">
        <f t="shared" si="83"/>
        <v>2.3487244543891408E-3</v>
      </c>
      <c r="E433" s="121">
        <f>SUMPRODUCT(D434:D$470,A434:A$470)/C433</f>
        <v>29.887172632592325</v>
      </c>
      <c r="F433" s="122">
        <f t="shared" si="80"/>
        <v>15.887172632592325</v>
      </c>
    </row>
    <row r="434" spans="1:6" ht="14.05" customHeight="1" x14ac:dyDescent="0.5">
      <c r="A434" s="61">
        <f t="shared" si="81"/>
        <v>15</v>
      </c>
      <c r="B434" s="124">
        <f t="shared" si="84"/>
        <v>0.95</v>
      </c>
      <c r="C434" s="123">
        <f t="shared" si="82"/>
        <v>4.2394476401723974E-2</v>
      </c>
      <c r="D434" s="123">
        <f t="shared" si="83"/>
        <v>2.2312882316696883E-3</v>
      </c>
      <c r="E434" s="121">
        <f>SUMPRODUCT(D435:D$470,A435:A$470)/C434</f>
        <v>30.670708034307712</v>
      </c>
      <c r="F434" s="122">
        <f t="shared" si="80"/>
        <v>15.670708034307712</v>
      </c>
    </row>
    <row r="435" spans="1:6" ht="14.05" customHeight="1" x14ac:dyDescent="0.5">
      <c r="A435" s="61">
        <f t="shared" si="81"/>
        <v>16</v>
      </c>
      <c r="B435" s="124">
        <f t="shared" si="84"/>
        <v>0.95</v>
      </c>
      <c r="C435" s="123">
        <f t="shared" si="82"/>
        <v>4.0274752581637777E-2</v>
      </c>
      <c r="D435" s="123">
        <f t="shared" si="83"/>
        <v>2.1197238200861973E-3</v>
      </c>
      <c r="E435" s="121">
        <f>SUMPRODUCT(D436:D$470,A436:A$470)/C435</f>
        <v>31.442850562429168</v>
      </c>
      <c r="F435" s="122">
        <f t="shared" si="80"/>
        <v>15.442850562429168</v>
      </c>
    </row>
    <row r="436" spans="1:6" ht="14.05" customHeight="1" x14ac:dyDescent="0.5">
      <c r="A436" s="61">
        <f t="shared" si="81"/>
        <v>17</v>
      </c>
      <c r="B436" s="124">
        <f t="shared" si="84"/>
        <v>0.95</v>
      </c>
      <c r="C436" s="123">
        <f t="shared" si="82"/>
        <v>3.8261014952555884E-2</v>
      </c>
      <c r="D436" s="123">
        <f t="shared" si="83"/>
        <v>2.0137376290818923E-3</v>
      </c>
      <c r="E436" s="121">
        <f>SUMPRODUCT(D437:D$470,A437:A$470)/C436</f>
        <v>32.203000592030712</v>
      </c>
      <c r="F436" s="122">
        <f t="shared" si="80"/>
        <v>15.203000592030712</v>
      </c>
    </row>
    <row r="437" spans="1:6" ht="14.05" customHeight="1" x14ac:dyDescent="0.5">
      <c r="A437" s="61">
        <f t="shared" si="81"/>
        <v>18</v>
      </c>
      <c r="B437" s="124">
        <f t="shared" si="84"/>
        <v>0.95</v>
      </c>
      <c r="C437" s="123">
        <f t="shared" si="82"/>
        <v>3.6347964204928092E-2</v>
      </c>
      <c r="D437" s="123">
        <f t="shared" si="83"/>
        <v>1.9130507476277925E-3</v>
      </c>
      <c r="E437" s="121">
        <f>SUMPRODUCT(D438:D$470,A438:A$470)/C437</f>
        <v>32.950526938979692</v>
      </c>
      <c r="F437" s="122">
        <f t="shared" si="80"/>
        <v>14.950526938979692</v>
      </c>
    </row>
    <row r="438" spans="1:6" ht="14.05" customHeight="1" x14ac:dyDescent="0.5">
      <c r="A438" s="61">
        <f t="shared" si="81"/>
        <v>19</v>
      </c>
      <c r="B438" s="124">
        <f t="shared" si="84"/>
        <v>0.95</v>
      </c>
      <c r="C438" s="123">
        <f t="shared" si="82"/>
        <v>3.4530565994681683E-2</v>
      </c>
      <c r="D438" s="123">
        <f t="shared" si="83"/>
        <v>1.8173982102464084E-3</v>
      </c>
      <c r="E438" s="121">
        <f>SUMPRODUCT(D439:D$470,A439:A$470)/C438</f>
        <v>33.684765198925994</v>
      </c>
      <c r="F438" s="122">
        <f t="shared" si="80"/>
        <v>14.684765198925994</v>
      </c>
    </row>
    <row r="439" spans="1:6" ht="14.05" customHeight="1" x14ac:dyDescent="0.5">
      <c r="A439" s="61">
        <f t="shared" si="81"/>
        <v>20</v>
      </c>
      <c r="B439" s="124">
        <f t="shared" si="84"/>
        <v>0.95</v>
      </c>
      <c r="C439" s="123">
        <f t="shared" si="82"/>
        <v>3.2804037694947601E-2</v>
      </c>
      <c r="D439" s="123">
        <f t="shared" si="83"/>
        <v>1.7265282997340828E-3</v>
      </c>
      <c r="E439" s="121">
        <f>SUMPRODUCT(D440:D$470,A440:A$470)/C439</f>
        <v>34.405015998869473</v>
      </c>
      <c r="F439" s="122">
        <f t="shared" si="80"/>
        <v>14.405015998869473</v>
      </c>
    </row>
    <row r="440" spans="1:6" ht="14.05" customHeight="1" x14ac:dyDescent="0.5">
      <c r="A440" s="61">
        <f t="shared" si="81"/>
        <v>21</v>
      </c>
      <c r="B440" s="124">
        <f t="shared" si="84"/>
        <v>0.95</v>
      </c>
      <c r="C440" s="123">
        <f t="shared" si="82"/>
        <v>3.116383581020022E-2</v>
      </c>
      <c r="D440" s="123">
        <f t="shared" si="83"/>
        <v>1.6402018847473804E-3</v>
      </c>
      <c r="E440" s="121">
        <f>SUMPRODUCT(D441:D$470,A441:A$470)/C440</f>
        <v>35.110543156704701</v>
      </c>
      <c r="F440" s="122">
        <f t="shared" si="80"/>
        <v>14.110543156704701</v>
      </c>
    </row>
    <row r="441" spans="1:6" ht="14.05" customHeight="1" x14ac:dyDescent="0.5">
      <c r="A441" s="61">
        <f t="shared" si="81"/>
        <v>22</v>
      </c>
      <c r="B441" s="124">
        <f t="shared" si="84"/>
        <v>0.95</v>
      </c>
      <c r="C441" s="123">
        <f t="shared" si="82"/>
        <v>2.9605644019690208E-2</v>
      </c>
      <c r="D441" s="123">
        <f t="shared" si="83"/>
        <v>1.5581917905100121E-3</v>
      </c>
      <c r="E441" s="121">
        <f>SUMPRODUCT(D442:D$470,A442:A$470)/C441</f>
        <v>35.800571743899688</v>
      </c>
      <c r="F441" s="122">
        <f t="shared" si="80"/>
        <v>13.800571743899688</v>
      </c>
    </row>
    <row r="442" spans="1:6" ht="14.05" customHeight="1" x14ac:dyDescent="0.5">
      <c r="A442" s="61">
        <f t="shared" si="81"/>
        <v>23</v>
      </c>
      <c r="B442" s="124">
        <f t="shared" si="84"/>
        <v>0.95</v>
      </c>
      <c r="C442" s="123">
        <f t="shared" si="82"/>
        <v>2.8125361818705695E-2</v>
      </c>
      <c r="D442" s="123">
        <f t="shared" si="83"/>
        <v>1.4802822009845132E-3</v>
      </c>
      <c r="E442" s="121">
        <f>SUMPRODUCT(D443:D$470,A443:A$470)/C442</f>
        <v>36.474286046210203</v>
      </c>
      <c r="F442" s="122">
        <f t="shared" si="80"/>
        <v>13.474286046210203</v>
      </c>
    </row>
    <row r="443" spans="1:6" ht="14.05" customHeight="1" x14ac:dyDescent="0.5">
      <c r="A443" s="61">
        <f t="shared" si="81"/>
        <v>24</v>
      </c>
      <c r="B443" s="124">
        <f t="shared" si="84"/>
        <v>0.95</v>
      </c>
      <c r="C443" s="123">
        <f t="shared" si="82"/>
        <v>2.6719093727770409E-2</v>
      </c>
      <c r="D443" s="123">
        <f t="shared" si="83"/>
        <v>1.4062680909352858E-3</v>
      </c>
      <c r="E443" s="121">
        <f>SUMPRODUCT(D444:D$470,A444:A$470)/C443</f>
        <v>37.130827417063372</v>
      </c>
      <c r="F443" s="122">
        <f t="shared" si="80"/>
        <v>13.130827417063372</v>
      </c>
    </row>
    <row r="444" spans="1:6" ht="14.05" customHeight="1" x14ac:dyDescent="0.5">
      <c r="A444" s="61">
        <f t="shared" si="81"/>
        <v>25</v>
      </c>
      <c r="B444" s="124">
        <f t="shared" si="84"/>
        <v>0.95</v>
      </c>
      <c r="C444" s="123">
        <f t="shared" si="82"/>
        <v>2.5383139041381887E-2</v>
      </c>
      <c r="D444" s="123">
        <f t="shared" si="83"/>
        <v>1.3359546863885227E-3</v>
      </c>
      <c r="E444" s="121">
        <f>SUMPRODUCT(D445:D$470,A445:A$470)/C444</f>
        <v>37.76929201796144</v>
      </c>
      <c r="F444" s="122">
        <f t="shared" si="80"/>
        <v>12.76929201796144</v>
      </c>
    </row>
    <row r="445" spans="1:6" ht="14.05" customHeight="1" x14ac:dyDescent="0.5">
      <c r="A445" s="61">
        <f t="shared" si="81"/>
        <v>26</v>
      </c>
      <c r="B445" s="124">
        <f t="shared" si="84"/>
        <v>0.95</v>
      </c>
      <c r="C445" s="123">
        <f t="shared" si="82"/>
        <v>2.4113982089312792E-2</v>
      </c>
      <c r="D445" s="123">
        <f t="shared" si="83"/>
        <v>1.2691569520690942E-3</v>
      </c>
      <c r="E445" s="121">
        <f>SUMPRODUCT(D446:D$470,A446:A$470)/C445</f>
        <v>38.388728439959408</v>
      </c>
      <c r="F445" s="122">
        <f t="shared" si="80"/>
        <v>12.388728439959408</v>
      </c>
    </row>
    <row r="446" spans="1:6" ht="14.05" customHeight="1" x14ac:dyDescent="0.5">
      <c r="A446" s="61">
        <f t="shared" si="81"/>
        <v>27</v>
      </c>
      <c r="B446" s="124">
        <f t="shared" si="84"/>
        <v>0.95</v>
      </c>
      <c r="C446" s="123">
        <f t="shared" si="82"/>
        <v>2.290828298484715E-2</v>
      </c>
      <c r="D446" s="123">
        <f t="shared" si="83"/>
        <v>1.205699104465642E-3</v>
      </c>
      <c r="E446" s="121">
        <f>SUMPRODUCT(D447:D$470,A447:A$470)/C446</f>
        <v>38.988135199957277</v>
      </c>
      <c r="F446" s="122">
        <f t="shared" si="80"/>
        <v>11.988135199957277</v>
      </c>
    </row>
    <row r="447" spans="1:6" ht="14.05" customHeight="1" x14ac:dyDescent="0.5">
      <c r="A447" s="61">
        <f t="shared" si="81"/>
        <v>28</v>
      </c>
      <c r="B447" s="124">
        <f t="shared" si="84"/>
        <v>0.95</v>
      </c>
      <c r="C447" s="123">
        <f t="shared" si="82"/>
        <v>2.1762868835604791E-2</v>
      </c>
      <c r="D447" s="123">
        <f t="shared" si="83"/>
        <v>1.1454141492423589E-3</v>
      </c>
      <c r="E447" s="121">
        <f>SUMPRODUCT(D448:D$470,A448:A$470)/C447</f>
        <v>39.566458105218182</v>
      </c>
      <c r="F447" s="122">
        <f t="shared" si="80"/>
        <v>11.566458105218182</v>
      </c>
    </row>
    <row r="448" spans="1:6" ht="14.05" customHeight="1" x14ac:dyDescent="0.5">
      <c r="A448" s="61">
        <f t="shared" si="81"/>
        <v>29</v>
      </c>
      <c r="B448" s="124">
        <f t="shared" si="84"/>
        <v>0.95</v>
      </c>
      <c r="C448" s="123">
        <f t="shared" si="82"/>
        <v>2.0674725393824551E-2</v>
      </c>
      <c r="D448" s="123">
        <f t="shared" si="83"/>
        <v>1.0881434417802406E-3</v>
      </c>
      <c r="E448" s="121">
        <f>SUMPRODUCT(D449:D$470,A449:A$470)/C448</f>
        <v>40.122587479177035</v>
      </c>
      <c r="F448" s="122">
        <f t="shared" si="80"/>
        <v>11.122587479177035</v>
      </c>
    </row>
    <row r="449" spans="1:6" ht="14.05" customHeight="1" x14ac:dyDescent="0.5">
      <c r="A449" s="61">
        <f t="shared" si="81"/>
        <v>30</v>
      </c>
      <c r="B449" s="124">
        <f t="shared" si="84"/>
        <v>0.95</v>
      </c>
      <c r="C449" s="123">
        <f t="shared" si="82"/>
        <v>1.9640989124133323E-2</v>
      </c>
      <c r="D449" s="123">
        <f t="shared" si="83"/>
        <v>1.0337362696912281E-3</v>
      </c>
      <c r="E449" s="121">
        <f>SUMPRODUCT(D450:D$470,A450:A$470)/C449</f>
        <v>40.655355241238986</v>
      </c>
      <c r="F449" s="122">
        <f t="shared" si="80"/>
        <v>10.655355241238986</v>
      </c>
    </row>
    <row r="450" spans="1:6" ht="14.05" customHeight="1" x14ac:dyDescent="0.5">
      <c r="A450" s="61">
        <f t="shared" si="81"/>
        <v>31</v>
      </c>
      <c r="B450" s="124">
        <f t="shared" si="84"/>
        <v>0.95</v>
      </c>
      <c r="C450" s="123">
        <f t="shared" si="82"/>
        <v>1.8658939667926654E-2</v>
      </c>
      <c r="D450" s="123">
        <f t="shared" si="83"/>
        <v>9.8204945620666839E-4</v>
      </c>
      <c r="E450" s="121">
        <f>SUMPRODUCT(D451:D$470,A451:A$470)/C450</f>
        <v>41.163531832883152</v>
      </c>
      <c r="F450" s="122">
        <f t="shared" si="80"/>
        <v>10.163531832883152</v>
      </c>
    </row>
    <row r="451" spans="1:6" ht="14.05" customHeight="1" x14ac:dyDescent="0.5">
      <c r="A451" s="61">
        <f t="shared" si="81"/>
        <v>32</v>
      </c>
      <c r="B451" s="124">
        <f t="shared" si="84"/>
        <v>0.95</v>
      </c>
      <c r="C451" s="123">
        <f t="shared" si="82"/>
        <v>1.7725992684530321E-2</v>
      </c>
      <c r="D451" s="123">
        <f t="shared" si="83"/>
        <v>9.3294698339633358E-4</v>
      </c>
      <c r="E451" s="121">
        <f>SUMPRODUCT(D452:D$470,A452:A$470)/C451</f>
        <v>41.645822981982263</v>
      </c>
      <c r="F451" s="122">
        <f t="shared" si="80"/>
        <v>9.6458229819822634</v>
      </c>
    </row>
    <row r="452" spans="1:6" ht="14.05" customHeight="1" x14ac:dyDescent="0.5">
      <c r="A452" s="61">
        <f t="shared" si="81"/>
        <v>33</v>
      </c>
      <c r="B452" s="124">
        <f t="shared" si="84"/>
        <v>0.95</v>
      </c>
      <c r="C452" s="123">
        <f t="shared" si="82"/>
        <v>1.6839693050303806E-2</v>
      </c>
      <c r="D452" s="123">
        <f t="shared" si="83"/>
        <v>8.8629963422651517E-4</v>
      </c>
      <c r="E452" s="121">
        <f>SUMPRODUCT(D453:D$470,A453:A$470)/C452</f>
        <v>42.100866296823426</v>
      </c>
      <c r="F452" s="122">
        <f t="shared" ref="F452:F468" si="85">E452-A452</f>
        <v>9.1008662968234262</v>
      </c>
    </row>
    <row r="453" spans="1:6" ht="14.05" customHeight="1" x14ac:dyDescent="0.5">
      <c r="A453" s="61">
        <f t="shared" si="81"/>
        <v>34</v>
      </c>
      <c r="B453" s="124">
        <f t="shared" si="84"/>
        <v>0.95</v>
      </c>
      <c r="C453" s="123">
        <f t="shared" si="82"/>
        <v>1.5997708397788614E-2</v>
      </c>
      <c r="D453" s="123">
        <f t="shared" si="83"/>
        <v>8.4198465251519167E-4</v>
      </c>
      <c r="E453" s="121">
        <f>SUMPRODUCT(D454:D$470,A454:A$470)/C453</f>
        <v>42.527227680866773</v>
      </c>
      <c r="F453" s="122">
        <f t="shared" si="85"/>
        <v>8.5272276808667726</v>
      </c>
    </row>
    <row r="454" spans="1:6" ht="14.05" customHeight="1" x14ac:dyDescent="0.5">
      <c r="A454" s="61">
        <f t="shared" si="81"/>
        <v>35</v>
      </c>
      <c r="B454" s="124">
        <f t="shared" si="84"/>
        <v>0.95</v>
      </c>
      <c r="C454" s="123">
        <f t="shared" si="82"/>
        <v>1.5197822977899183E-2</v>
      </c>
      <c r="D454" s="123">
        <f t="shared" si="83"/>
        <v>7.998854198894307E-4</v>
      </c>
      <c r="E454" s="121">
        <f>SUMPRODUCT(D455:D$470,A455:A$470)/C454</f>
        <v>42.923397558807132</v>
      </c>
      <c r="F454" s="122">
        <f t="shared" si="85"/>
        <v>7.9233975588071317</v>
      </c>
    </row>
    <row r="455" spans="1:6" ht="14.05" customHeight="1" x14ac:dyDescent="0.5">
      <c r="A455" s="61">
        <f t="shared" si="81"/>
        <v>36</v>
      </c>
      <c r="B455" s="124">
        <f t="shared" si="84"/>
        <v>0.95</v>
      </c>
      <c r="C455" s="123">
        <f t="shared" si="82"/>
        <v>1.4437931829004224E-2</v>
      </c>
      <c r="D455" s="123">
        <f t="shared" si="83"/>
        <v>7.5989114889495925E-4</v>
      </c>
      <c r="E455" s="121">
        <f>SUMPRODUCT(D456:D$470,A456:A$470)/C455</f>
        <v>43.287786904007497</v>
      </c>
      <c r="F455" s="122">
        <f t="shared" si="85"/>
        <v>7.287786904007497</v>
      </c>
    </row>
    <row r="456" spans="1:6" ht="14.05" customHeight="1" x14ac:dyDescent="0.5">
      <c r="A456" s="61">
        <f t="shared" si="81"/>
        <v>37</v>
      </c>
      <c r="B456" s="124">
        <f t="shared" si="84"/>
        <v>0.95</v>
      </c>
      <c r="C456" s="123">
        <f t="shared" si="82"/>
        <v>1.3716035237554013E-2</v>
      </c>
      <c r="D456" s="123">
        <f t="shared" si="83"/>
        <v>7.2189659145021137E-4</v>
      </c>
      <c r="E456" s="121">
        <f>SUMPRODUCT(D457:D$470,A457:A$470)/C456</f>
        <v>43.618723056850001</v>
      </c>
      <c r="F456" s="122">
        <f t="shared" si="85"/>
        <v>6.6187230568500013</v>
      </c>
    </row>
    <row r="457" spans="1:6" ht="14.05" customHeight="1" x14ac:dyDescent="0.5">
      <c r="A457" s="61">
        <f t="shared" si="81"/>
        <v>38</v>
      </c>
      <c r="B457" s="124">
        <f t="shared" si="84"/>
        <v>0.95</v>
      </c>
      <c r="C457" s="123">
        <f t="shared" si="82"/>
        <v>1.3030233475676311E-2</v>
      </c>
      <c r="D457" s="123">
        <f t="shared" si="83"/>
        <v>6.8580176187770132E-4</v>
      </c>
      <c r="E457" s="121">
        <f>SUMPRODUCT(D458:D$470,A458:A$470)/C457</f>
        <v>43.91444532300001</v>
      </c>
      <c r="F457" s="122">
        <f t="shared" si="85"/>
        <v>5.9144453230000096</v>
      </c>
    </row>
    <row r="458" spans="1:6" ht="14.05" customHeight="1" x14ac:dyDescent="0.5">
      <c r="A458" s="61">
        <f t="shared" si="81"/>
        <v>39</v>
      </c>
      <c r="B458" s="124">
        <f t="shared" si="84"/>
        <v>0.95</v>
      </c>
      <c r="C458" s="123">
        <f t="shared" si="82"/>
        <v>1.2378721801892496E-2</v>
      </c>
      <c r="D458" s="123">
        <f t="shared" si="83"/>
        <v>6.5151167378381565E-4</v>
      </c>
      <c r="E458" s="121">
        <f>SUMPRODUCT(D459:D$470,A459:A$470)/C458</f>
        <v>44.173100340000005</v>
      </c>
      <c r="F458" s="122">
        <f t="shared" si="85"/>
        <v>5.1731003400000048</v>
      </c>
    </row>
    <row r="459" spans="1:6" ht="14.05" customHeight="1" x14ac:dyDescent="0.5">
      <c r="A459" s="61">
        <f t="shared" si="81"/>
        <v>40</v>
      </c>
      <c r="B459" s="124">
        <f t="shared" si="84"/>
        <v>0.95</v>
      </c>
      <c r="C459" s="123">
        <f t="shared" si="82"/>
        <v>1.1759785711797871E-2</v>
      </c>
      <c r="D459" s="123">
        <f t="shared" si="83"/>
        <v>6.1893609009462495E-4</v>
      </c>
      <c r="E459" s="121">
        <f>SUMPRODUCT(D460:D$470,A460:A$470)/C459</f>
        <v>44.392737199999999</v>
      </c>
      <c r="F459" s="122">
        <f t="shared" si="85"/>
        <v>4.3927371999999991</v>
      </c>
    </row>
    <row r="460" spans="1:6" ht="14.05" customHeight="1" x14ac:dyDescent="0.5">
      <c r="A460" s="61">
        <f t="shared" si="81"/>
        <v>41</v>
      </c>
      <c r="B460" s="120">
        <v>0.9</v>
      </c>
      <c r="C460" s="123">
        <f t="shared" si="82"/>
        <v>1.0583807140618084E-2</v>
      </c>
      <c r="D460" s="123">
        <f t="shared" si="83"/>
        <v>1.1759785711797869E-3</v>
      </c>
      <c r="E460" s="121">
        <f>SUMPRODUCT(D461:D$470,A461:A$470)/C460</f>
        <v>44.769707999999994</v>
      </c>
      <c r="F460" s="122">
        <f t="shared" si="85"/>
        <v>3.7697079999999943</v>
      </c>
    </row>
    <row r="461" spans="1:6" ht="14.05" customHeight="1" x14ac:dyDescent="0.5">
      <c r="A461" s="61">
        <f t="shared" si="81"/>
        <v>42</v>
      </c>
      <c r="B461" s="120">
        <v>0.85</v>
      </c>
      <c r="C461" s="123">
        <f t="shared" si="82"/>
        <v>8.996236069525371E-3</v>
      </c>
      <c r="D461" s="123">
        <f t="shared" si="83"/>
        <v>1.5875710710927127E-3</v>
      </c>
      <c r="E461" s="121">
        <f>SUMPRODUCT(D462:D$470,A462:A$470)/C461</f>
        <v>45.258479999999999</v>
      </c>
      <c r="F461" s="122">
        <f t="shared" si="85"/>
        <v>3.2584799999999987</v>
      </c>
    </row>
    <row r="462" spans="1:6" ht="14.05" customHeight="1" x14ac:dyDescent="0.5">
      <c r="A462" s="61">
        <f t="shared" si="81"/>
        <v>43</v>
      </c>
      <c r="B462" s="120">
        <v>0.8</v>
      </c>
      <c r="C462" s="123">
        <f t="shared" si="82"/>
        <v>7.1969888556202974E-3</v>
      </c>
      <c r="D462" s="123">
        <f t="shared" si="83"/>
        <v>1.7992472139050737E-3</v>
      </c>
      <c r="E462" s="121">
        <f>SUMPRODUCT(D463:D$470,A463:A$470)/C462</f>
        <v>45.823099999999997</v>
      </c>
      <c r="F462" s="122">
        <f t="shared" si="85"/>
        <v>2.8230999999999966</v>
      </c>
    </row>
    <row r="463" spans="1:6" ht="14.05" customHeight="1" x14ac:dyDescent="0.5">
      <c r="A463" s="61">
        <f t="shared" si="81"/>
        <v>44</v>
      </c>
      <c r="B463" s="120">
        <v>0.75</v>
      </c>
      <c r="C463" s="123">
        <f t="shared" si="82"/>
        <v>5.3977416417152228E-3</v>
      </c>
      <c r="D463" s="123">
        <f t="shared" si="83"/>
        <v>1.7992472139050746E-3</v>
      </c>
      <c r="E463" s="121">
        <f>SUMPRODUCT(D464:D$470,A464:A$470)/C463</f>
        <v>46.430799999999998</v>
      </c>
      <c r="F463" s="122">
        <f t="shared" si="85"/>
        <v>2.4307999999999979</v>
      </c>
    </row>
    <row r="464" spans="1:6" ht="14.05" customHeight="1" x14ac:dyDescent="0.5">
      <c r="A464" s="61">
        <f t="shared" si="81"/>
        <v>45</v>
      </c>
      <c r="B464" s="120">
        <v>0.7</v>
      </c>
      <c r="C464" s="123">
        <f t="shared" si="82"/>
        <v>3.7784191492006556E-3</v>
      </c>
      <c r="D464" s="123">
        <f t="shared" si="83"/>
        <v>1.6193224925145672E-3</v>
      </c>
      <c r="E464" s="121">
        <f>SUMPRODUCT(D465:D$470,A465:A$470)/C464</f>
        <v>47.043999999999997</v>
      </c>
      <c r="F464" s="122">
        <f t="shared" si="85"/>
        <v>2.0439999999999969</v>
      </c>
    </row>
    <row r="465" spans="1:52" ht="14.05" customHeight="1" x14ac:dyDescent="0.5">
      <c r="A465" s="61">
        <f t="shared" si="81"/>
        <v>46</v>
      </c>
      <c r="B465" s="120">
        <v>0.6</v>
      </c>
      <c r="C465" s="123">
        <f t="shared" si="82"/>
        <v>2.2670514895203934E-3</v>
      </c>
      <c r="D465" s="123">
        <f t="shared" si="83"/>
        <v>1.5113676596802622E-3</v>
      </c>
      <c r="E465" s="121">
        <f>SUMPRODUCT(D466:D$470,A466:A$470)/C465</f>
        <v>47.740000000000009</v>
      </c>
      <c r="F465" s="122">
        <f t="shared" si="85"/>
        <v>1.7400000000000091</v>
      </c>
    </row>
    <row r="466" spans="1:52" ht="14.05" customHeight="1" x14ac:dyDescent="0.5">
      <c r="A466" s="61">
        <f t="shared" si="81"/>
        <v>47</v>
      </c>
      <c r="B466" s="120">
        <v>0.5</v>
      </c>
      <c r="C466" s="123">
        <f t="shared" si="82"/>
        <v>1.1335257447601967E-3</v>
      </c>
      <c r="D466" s="123">
        <f t="shared" si="83"/>
        <v>1.1335257447601967E-3</v>
      </c>
      <c r="E466" s="121">
        <f>SUMPRODUCT(D467:D$470,A467:A$470)/C466</f>
        <v>48.480000000000004</v>
      </c>
      <c r="F466" s="122">
        <f t="shared" si="85"/>
        <v>1.480000000000004</v>
      </c>
    </row>
    <row r="467" spans="1:52" ht="14.05" customHeight="1" x14ac:dyDescent="0.5">
      <c r="A467" s="61">
        <f t="shared" si="81"/>
        <v>48</v>
      </c>
      <c r="B467" s="120">
        <v>0.4</v>
      </c>
      <c r="C467" s="123">
        <f t="shared" si="82"/>
        <v>4.534102979040787E-4</v>
      </c>
      <c r="D467" s="123">
        <f t="shared" si="83"/>
        <v>6.8011544685611799E-4</v>
      </c>
      <c r="E467" s="121">
        <f>SUMPRODUCT(D468:D$470,A468:A$470)/C467</f>
        <v>49.2</v>
      </c>
      <c r="F467" s="122">
        <f t="shared" si="85"/>
        <v>1.2000000000000028</v>
      </c>
    </row>
    <row r="468" spans="1:52" ht="14.05" customHeight="1" x14ac:dyDescent="0.5">
      <c r="A468" s="61">
        <f t="shared" si="81"/>
        <v>49</v>
      </c>
      <c r="B468" s="120">
        <v>0.2</v>
      </c>
      <c r="C468" s="123">
        <f t="shared" si="82"/>
        <v>9.0682059580815742E-5</v>
      </c>
      <c r="D468" s="123">
        <f t="shared" si="83"/>
        <v>3.6272823832326297E-4</v>
      </c>
      <c r="E468" s="121">
        <f>SUMPRODUCT(D469:D$470,A469:A$470)/C468</f>
        <v>49.999999999999993</v>
      </c>
      <c r="F468" s="122">
        <f t="shared" si="85"/>
        <v>0.99999999999999289</v>
      </c>
    </row>
    <row r="469" spans="1:52" ht="14.05" customHeight="1" x14ac:dyDescent="0.5">
      <c r="A469" s="61">
        <f>A468+1</f>
        <v>50</v>
      </c>
      <c r="B469" s="120">
        <v>0</v>
      </c>
      <c r="C469" s="123">
        <f t="shared" si="82"/>
        <v>0</v>
      </c>
      <c r="D469" s="123">
        <f t="shared" si="83"/>
        <v>9.0682059580815742E-5</v>
      </c>
      <c r="E469" s="121"/>
      <c r="F469" s="61"/>
    </row>
    <row r="472" spans="1:52" ht="64.5" customHeight="1" x14ac:dyDescent="0.5">
      <c r="A472" s="75" t="s">
        <v>207</v>
      </c>
      <c r="B472" s="75" t="s">
        <v>206</v>
      </c>
    </row>
    <row r="473" spans="1:52" ht="14.05" customHeight="1" x14ac:dyDescent="0.5">
      <c r="A473" s="61" t="str" cm="1">
        <f t="array" ref="A473:A477">industry_experience</f>
        <v>Less than 1 year</v>
      </c>
      <c r="B473" s="76">
        <f>AVERAGE(F408:F419)</f>
        <v>4.078507378841576</v>
      </c>
    </row>
    <row r="474" spans="1:52" ht="14.05" customHeight="1" x14ac:dyDescent="0.5">
      <c r="A474" s="61" t="str">
        <v>1 to 2 years</v>
      </c>
      <c r="B474" s="76">
        <f>AVERAGE(F420:F421)</f>
        <v>5.2968408009428565</v>
      </c>
    </row>
    <row r="475" spans="1:52" ht="14.05" customHeight="1" x14ac:dyDescent="0.5">
      <c r="A475" s="61" t="str">
        <v>2 to 4 years</v>
      </c>
      <c r="B475" s="76">
        <f>AVERAGE(F422:F424)</f>
        <v>9.0003417809339812</v>
      </c>
    </row>
    <row r="476" spans="1:52" ht="14.05" customHeight="1" x14ac:dyDescent="0.5">
      <c r="A476" s="61" t="str">
        <v>5 to 10 years</v>
      </c>
      <c r="B476" s="76">
        <f>AVERAGE(F425:F429)</f>
        <v>14.07162373340833</v>
      </c>
    </row>
    <row r="477" spans="1:52" ht="14.05" customHeight="1" x14ac:dyDescent="0.5">
      <c r="A477" s="61" t="str">
        <v>10+ years</v>
      </c>
      <c r="B477" s="76">
        <f>AVERAGE(F430:F449)</f>
        <v>14.005278837163576</v>
      </c>
    </row>
    <row r="478" spans="1:52" ht="14.05" customHeight="1" x14ac:dyDescent="0.5">
      <c r="A478" s="61"/>
      <c r="B478" s="124"/>
    </row>
    <row r="480" spans="1:52" ht="14.05" customHeight="1" x14ac:dyDescent="0.5">
      <c r="A480" s="56" t="s">
        <v>217</v>
      </c>
      <c r="B480" s="57"/>
      <c r="C480" s="57"/>
      <c r="D480" s="57"/>
      <c r="E480" s="57"/>
      <c r="F480" s="57"/>
      <c r="G480" s="57"/>
      <c r="H480" s="57"/>
      <c r="I480" s="57"/>
      <c r="J480" s="57"/>
      <c r="K480" s="57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  <c r="AK480" s="57"/>
      <c r="AL480" s="57"/>
      <c r="AM480" s="57"/>
      <c r="AN480" s="57"/>
      <c r="AO480" s="57"/>
      <c r="AP480" s="57"/>
      <c r="AQ480" s="57"/>
      <c r="AR480" s="57"/>
      <c r="AS480" s="57"/>
      <c r="AT480" s="57"/>
      <c r="AU480" s="57"/>
      <c r="AV480" s="57"/>
      <c r="AW480" s="57"/>
      <c r="AX480" s="57"/>
      <c r="AY480" s="57"/>
      <c r="AZ480" s="57"/>
    </row>
    <row r="482" spans="1:7" ht="36" customHeight="1" x14ac:dyDescent="0.5">
      <c r="A482" s="56" t="s">
        <v>425</v>
      </c>
      <c r="B482" s="83" t="str">
        <f>B48</f>
        <v>Strategic manager</v>
      </c>
      <c r="C482" s="83" t="str">
        <f>C48</f>
        <v>Manager</v>
      </c>
      <c r="D482" s="83" t="str">
        <f>D48</f>
        <v>Semi-autonomous</v>
      </c>
      <c r="E482" s="83" t="str">
        <f>E48</f>
        <v>Managed</v>
      </c>
      <c r="F482" s="84"/>
      <c r="G482" s="83" t="s">
        <v>242</v>
      </c>
    </row>
    <row r="483" spans="1:7" ht="14.05" customHeight="1" x14ac:dyDescent="0.5">
      <c r="A483" s="77" t="str" cm="1">
        <f t="array" ref="A483:A484">capability_areas</f>
        <v>Production management</v>
      </c>
      <c r="B483" s="78">
        <f>B65 * SUMPRODUCT($C$84:$C$98,'Training programme data entry'!$C$46:$C$60)</f>
        <v>34381.577192298326</v>
      </c>
      <c r="C483" s="78">
        <f>C65 * SUMPRODUCT($C$84:$C$98,'Training programme data entry'!$C$46:$C$60)</f>
        <v>17190.788596149163</v>
      </c>
      <c r="D483" s="78">
        <f>D65 * SUMPRODUCT($C$84:$C$98,'Training programme data entry'!$C$46:$C$60)</f>
        <v>8595.3942980745815</v>
      </c>
      <c r="E483" s="78">
        <f>E65 * SUMPRODUCT($C$84:$C$98,'Training programme data entry'!$C$46:$C$60)</f>
        <v>4297.6971490372907</v>
      </c>
      <c r="G483" s="78" cm="1">
        <f t="array" ref="G483">SUMPRODUCT(B483:E483,TRANSPOSE('Training programme data entry'!$C$64:$C$67))</f>
        <v>4297.6971490372907</v>
      </c>
    </row>
    <row r="484" spans="1:7" ht="14.05" customHeight="1" x14ac:dyDescent="0.5">
      <c r="A484" s="77" t="str">
        <v>Business management</v>
      </c>
      <c r="B484" s="78">
        <f>B66 * SUMPRODUCT($C$84:$C$98,'Training programme data entry'!$C$46:$C$60)</f>
        <v>33564.659552398683</v>
      </c>
      <c r="C484" s="78">
        <f>C66 * SUMPRODUCT($C$84:$C$98,'Training programme data entry'!$C$46:$C$60)</f>
        <v>10069.397865719602</v>
      </c>
      <c r="D484" s="78">
        <f>D66 * SUMPRODUCT($C$84:$C$98,'Training programme data entry'!$C$46:$C$60)</f>
        <v>3356.465955239868</v>
      </c>
      <c r="E484" s="78">
        <f>E66 * SUMPRODUCT($C$84:$C$98,'Training programme data entry'!$C$46:$C$60)</f>
        <v>0</v>
      </c>
      <c r="G484" s="78" cm="1">
        <f t="array" ref="G484">SUMPRODUCT(B484:E484,TRANSPOSE('Training programme data entry'!$C$64:$C$67))</f>
        <v>0</v>
      </c>
    </row>
    <row r="485" spans="1:7" ht="14.05" customHeight="1" x14ac:dyDescent="0.5">
      <c r="A485" s="79"/>
      <c r="B485" s="80"/>
      <c r="C485" s="80"/>
      <c r="D485" s="80"/>
      <c r="E485" s="80"/>
      <c r="G485" s="80"/>
    </row>
    <row r="486" spans="1:7" ht="14.05" customHeight="1" x14ac:dyDescent="0.5">
      <c r="A486" s="56" t="s">
        <v>243</v>
      </c>
      <c r="B486" s="85">
        <f>multiplier_for_training/sd_of_innate_ability</f>
        <v>1</v>
      </c>
      <c r="C486" s="80"/>
      <c r="D486" s="80"/>
      <c r="E486" s="80"/>
      <c r="G486" s="80"/>
    </row>
    <row r="487" spans="1:7" ht="14.05" customHeight="1" x14ac:dyDescent="0.5">
      <c r="A487" s="79"/>
      <c r="B487" s="80"/>
      <c r="C487" s="80"/>
      <c r="D487" s="80"/>
      <c r="E487" s="80"/>
      <c r="G487" s="80"/>
    </row>
    <row r="488" spans="1:7" ht="14.05" customHeight="1" x14ac:dyDescent="0.5">
      <c r="A488" s="56" t="s">
        <v>244</v>
      </c>
      <c r="B488" s="83" t="s">
        <v>242</v>
      </c>
      <c r="C488" s="80"/>
      <c r="D488" s="80"/>
      <c r="E488" s="80"/>
      <c r="G488" s="80"/>
    </row>
    <row r="489" spans="1:7" ht="14.05" customHeight="1" x14ac:dyDescent="0.5">
      <c r="A489" s="77" t="str" cm="1">
        <f t="array" ref="A489:A490">capability_areas</f>
        <v>Production management</v>
      </c>
      <c r="B489" s="78">
        <f>$B$486*G483</f>
        <v>4297.6971490372907</v>
      </c>
      <c r="C489" s="80"/>
      <c r="D489" s="80"/>
      <c r="E489" s="80"/>
      <c r="G489" s="80"/>
    </row>
    <row r="490" spans="1:7" ht="14.05" customHeight="1" x14ac:dyDescent="0.5">
      <c r="A490" s="77" t="str">
        <v>Business management</v>
      </c>
      <c r="B490" s="78">
        <f>$B$486*G484</f>
        <v>0</v>
      </c>
      <c r="C490" s="80"/>
      <c r="D490" s="80"/>
      <c r="E490" s="80"/>
      <c r="G490" s="80"/>
    </row>
    <row r="491" spans="1:7" ht="14.05" customHeight="1" x14ac:dyDescent="0.5">
      <c r="A491" s="79"/>
      <c r="B491" s="80"/>
      <c r="C491" s="80"/>
      <c r="D491" s="80"/>
      <c r="E491" s="80"/>
      <c r="G491" s="80"/>
    </row>
    <row r="492" spans="1:7" ht="14.05" customHeight="1" x14ac:dyDescent="0.5">
      <c r="B492" s="80"/>
      <c r="D492" s="80"/>
      <c r="E492" s="80"/>
      <c r="G492" s="80"/>
    </row>
    <row r="493" spans="1:7" ht="36" customHeight="1" x14ac:dyDescent="0.5">
      <c r="A493" s="56" t="s">
        <v>575</v>
      </c>
      <c r="B493" s="83" t="str" cm="1">
        <f t="array" ref="B493:E493">TRANSPOSE(roles)</f>
        <v>Strategic manager</v>
      </c>
      <c r="C493" s="83" t="str">
        <v>Manager</v>
      </c>
      <c r="D493" s="83" t="str">
        <v>Semi-autonomous</v>
      </c>
      <c r="E493" s="83" t="str">
        <v>Managed</v>
      </c>
      <c r="F493" s="84"/>
      <c r="G493" s="80"/>
    </row>
    <row r="494" spans="1:7" ht="14.05" customHeight="1" x14ac:dyDescent="0.5">
      <c r="A494" s="80" t="s">
        <v>571</v>
      </c>
      <c r="B494" s="249" cm="1">
        <f t="array" ref="B494:E494">TRANSPOSE('Training programme data entry'!$E$64:$E$67)</f>
        <v>0</v>
      </c>
      <c r="C494" s="249">
        <v>0</v>
      </c>
      <c r="D494" s="249">
        <v>0</v>
      </c>
      <c r="E494" s="249">
        <v>1</v>
      </c>
      <c r="G494" s="80"/>
    </row>
    <row r="495" spans="1:7" ht="14.05" customHeight="1" x14ac:dyDescent="0.5">
      <c r="A495" s="80" t="s">
        <v>572</v>
      </c>
      <c r="B495" s="28">
        <f>INDEX($B$255:$E$265,MATCH('Training programme data entry'!$E$12,_xlfn.ANCHORARRAY('Business profitability model'!$A255),0),MATCH('Business profitability model'!B493,_xlfn.ANCHORARRAY('Business profitability model'!$B$254),0))</f>
        <v>0.4</v>
      </c>
      <c r="C495" s="28">
        <f>INDEX($B$255:$E$265,MATCH('Training programme data entry'!$E$12,_xlfn.ANCHORARRAY('Business profitability model'!$A255),0),MATCH('Business profitability model'!C493,_xlfn.ANCHORARRAY('Business profitability model'!$B$254),0))</f>
        <v>0.6</v>
      </c>
      <c r="D495" s="28">
        <f>INDEX($B$255:$E$265,MATCH('Training programme data entry'!$E$12,_xlfn.ANCHORARRAY('Business profitability model'!$A255),0),MATCH('Business profitability model'!D493,_xlfn.ANCHORARRAY('Business profitability model'!$B$254),0))</f>
        <v>0.8</v>
      </c>
      <c r="E495" s="28">
        <f>INDEX($B$255:$E$265,MATCH('Training programme data entry'!$E$12,_xlfn.ANCHORARRAY('Business profitability model'!$A255),0),MATCH('Business profitability model'!E493,_xlfn.ANCHORARRAY('Business profitability model'!$B$254),0))</f>
        <v>1</v>
      </c>
      <c r="G495" s="80"/>
    </row>
    <row r="496" spans="1:7" ht="14.05" customHeight="1" x14ac:dyDescent="0.5">
      <c r="A496" s="80" t="s">
        <v>576</v>
      </c>
      <c r="B496" s="28" cm="1">
        <f t="array" ref="B496:E496">TRANSPOSE($B$290:$B$293)</f>
        <v>1</v>
      </c>
      <c r="C496" s="28">
        <v>0.8</v>
      </c>
      <c r="D496" s="28">
        <v>0.7</v>
      </c>
      <c r="E496" s="28">
        <v>0.6</v>
      </c>
      <c r="G496" s="80"/>
    </row>
    <row r="497" spans="1:17" ht="14.05" customHeight="1" x14ac:dyDescent="0.5">
      <c r="A497" s="80"/>
      <c r="B497" s="80"/>
      <c r="C497" s="80"/>
      <c r="D497" s="80"/>
      <c r="E497" s="80"/>
      <c r="G497" s="80"/>
    </row>
    <row r="498" spans="1:17" ht="14.05" customHeight="1" x14ac:dyDescent="0.5">
      <c r="A498" s="56" t="s">
        <v>101</v>
      </c>
      <c r="B498" s="56"/>
      <c r="C498" s="80"/>
    </row>
    <row r="499" spans="1:17" ht="14.05" customHeight="1" x14ac:dyDescent="0.5">
      <c r="A499" s="77" t="s">
        <v>241</v>
      </c>
      <c r="B499" s="81">
        <f>('Training programme data entry'!$C$10/reference_training_programme_duration)^duration_exponent</f>
        <v>0.43527528164806206</v>
      </c>
      <c r="C499" s="80"/>
    </row>
    <row r="500" spans="1:17" ht="14.05" customHeight="1" x14ac:dyDescent="0.5">
      <c r="A500" s="77" t="s">
        <v>319</v>
      </c>
      <c r="B500" s="81">
        <f>_xlfn.XLOOKUP('Training programme data entry'!C11,'Business profitability model'!$A$246:$A$251,'Business profitability model'!$B$246:$B$251)</f>
        <v>1</v>
      </c>
      <c r="C500" s="80"/>
    </row>
    <row r="501" spans="1:17" ht="14.05" customHeight="1" x14ac:dyDescent="0.5">
      <c r="A501" s="77" t="s">
        <v>79</v>
      </c>
      <c r="B501" s="81">
        <f>SUMPRODUCT(_xlfn.ANCHORARRAY(B494),B495:E495)</f>
        <v>1</v>
      </c>
      <c r="C501" s="80"/>
      <c r="D501" s="80"/>
      <c r="E501" s="80"/>
      <c r="G501" s="80"/>
    </row>
    <row r="502" spans="1:17" ht="14.05" customHeight="1" x14ac:dyDescent="0.5">
      <c r="A502" s="77" t="s">
        <v>90</v>
      </c>
      <c r="B502" s="81">
        <f>SUMPRODUCT('Training programme data entry'!$C$20:$C$24,'Business profitability model'!$B$268:$B$272)</f>
        <v>0.44</v>
      </c>
      <c r="C502" s="80"/>
      <c r="D502" s="80"/>
      <c r="E502" s="80"/>
      <c r="G502" s="80"/>
    </row>
    <row r="503" spans="1:17" ht="14.05" customHeight="1" x14ac:dyDescent="0.5">
      <c r="A503" s="77" t="s">
        <v>239</v>
      </c>
      <c r="B503" s="81">
        <f>SUMPRODUCT('Training programme data entry'!$C$28:$C$31,'Business profitability model'!$B$276:$B$279)</f>
        <v>0.745</v>
      </c>
      <c r="C503" s="80"/>
      <c r="D503" s="80"/>
      <c r="E503" s="80"/>
      <c r="G503" s="80"/>
    </row>
    <row r="504" spans="1:17" ht="14.05" customHeight="1" x14ac:dyDescent="0.5">
      <c r="A504" s="77" t="s">
        <v>95</v>
      </c>
      <c r="B504" s="81">
        <f>SUMPRODUCT('Training programme data entry'!$C$35:$C$38,'Business profitability model'!$B$283:$B$286)</f>
        <v>1</v>
      </c>
      <c r="C504" s="80"/>
      <c r="D504" s="80"/>
      <c r="E504" s="80"/>
      <c r="G504" s="80"/>
    </row>
    <row r="505" spans="1:17" ht="14.05" customHeight="1" x14ac:dyDescent="0.5">
      <c r="A505" s="77" t="s">
        <v>99</v>
      </c>
      <c r="B505" s="81">
        <f>SUMPRODUCT(_xlfn.ANCHORARRAY(B494),_xlfn.ANCHORARRAY(B496))</f>
        <v>0.6</v>
      </c>
      <c r="C505" s="80"/>
      <c r="D505" s="80"/>
      <c r="E505" s="80"/>
    </row>
    <row r="506" spans="1:17" ht="14.05" customHeight="1" x14ac:dyDescent="0.5">
      <c r="A506" s="77" t="s">
        <v>257</v>
      </c>
      <c r="B506" s="81">
        <f>SUMPRODUCT($N$303:$N$323,'Training programme data entry'!$C$79:$C$99)</f>
        <v>0.97000000000000008</v>
      </c>
    </row>
    <row r="508" spans="1:17" ht="14.05" customHeight="1" x14ac:dyDescent="0.5">
      <c r="A508" s="56" t="s">
        <v>246</v>
      </c>
      <c r="B508" s="83"/>
    </row>
    <row r="510" spans="1:17" ht="25.8" x14ac:dyDescent="0.5">
      <c r="A510" s="30" t="s">
        <v>247</v>
      </c>
      <c r="C510" s="83" t="str" cm="1">
        <f t="array" ref="C510:Q510">TRANSPOSE(industries)</f>
        <v>Apiculture</v>
      </c>
      <c r="D510" s="83" t="str">
        <v>Arable</v>
      </c>
      <c r="E510" s="83" t="str">
        <v>Dairy farming</v>
      </c>
      <c r="F510" s="83" t="str">
        <v>Equine, dogs and racing</v>
      </c>
      <c r="G510" s="83" t="str">
        <v>Forestry</v>
      </c>
      <c r="H510" s="83" t="str">
        <v>Fruit</v>
      </c>
      <c r="I510" s="83" t="str">
        <v>Grapes and wine</v>
      </c>
      <c r="J510" s="83" t="str">
        <v>Nursery, turf and gardening</v>
      </c>
      <c r="K510" s="83" t="str">
        <v>Poultry, pigs &amp; other livestock</v>
      </c>
      <c r="L510" s="83" t="str">
        <v>Seafood - production</v>
      </c>
      <c r="M510" s="83" t="str">
        <v>Seafood - processing</v>
      </c>
      <c r="N510" s="83" t="str">
        <v>Sheep, beef and deer farming</v>
      </c>
      <c r="O510" s="83" t="str">
        <v>Support services</v>
      </c>
      <c r="P510" s="83" t="str">
        <v>Vegetables</v>
      </c>
      <c r="Q510" s="83" t="str">
        <v>Veterinary</v>
      </c>
    </row>
    <row r="511" spans="1:17" ht="14.05" customHeight="1" x14ac:dyDescent="0.5">
      <c r="A511" s="77" t="str" cm="1">
        <f t="array" ref="A511:A512">capability_areas</f>
        <v>Production management</v>
      </c>
      <c r="C511" s="86">
        <f>_xlfn.XLOOKUP('Training programme data entry'!$C$14,$B$329:$B$362,C329:C362)</f>
        <v>0.2</v>
      </c>
      <c r="D511" s="86">
        <f>_xlfn.XLOOKUP('Training programme data entry'!$C$14,$B$329:$B$362,D329:D362)</f>
        <v>0.4</v>
      </c>
      <c r="E511" s="86">
        <f>_xlfn.XLOOKUP('Training programme data entry'!$C$14,$B$329:$B$362,E329:E362)</f>
        <v>1</v>
      </c>
      <c r="F511" s="86">
        <f>_xlfn.XLOOKUP('Training programme data entry'!$C$14,$B$329:$B$362,F329:F362)</f>
        <v>0.2</v>
      </c>
      <c r="G511" s="86">
        <f>_xlfn.XLOOKUP('Training programme data entry'!$C$14,$B$329:$B$362,G329:G362)</f>
        <v>0.4</v>
      </c>
      <c r="H511" s="86">
        <f>_xlfn.XLOOKUP('Training programme data entry'!$C$14,$B$329:$B$362,H329:H362)</f>
        <v>0.4</v>
      </c>
      <c r="I511" s="86">
        <f>_xlfn.XLOOKUP('Training programme data entry'!$C$14,$B$329:$B$362,I329:I362)</f>
        <v>0.4</v>
      </c>
      <c r="J511" s="86">
        <f>_xlfn.XLOOKUP('Training programme data entry'!$C$14,$B$329:$B$362,J329:J362)</f>
        <v>0.2</v>
      </c>
      <c r="K511" s="86">
        <f>_xlfn.XLOOKUP('Training programme data entry'!$C$14,$B$329:$B$362,K329:K362)</f>
        <v>0.6</v>
      </c>
      <c r="L511" s="86">
        <f>_xlfn.XLOOKUP('Training programme data entry'!$C$14,$B$329:$B$362,L329:L362)</f>
        <v>0.1</v>
      </c>
      <c r="M511" s="86">
        <f>_xlfn.XLOOKUP('Training programme data entry'!$C$14,$B$329:$B$362,M329:M362)</f>
        <v>0.2</v>
      </c>
      <c r="N511" s="86">
        <f>_xlfn.XLOOKUP('Training programme data entry'!$C$14,$B$329:$B$362,N329:N362)</f>
        <v>1</v>
      </c>
      <c r="O511" s="86">
        <f>_xlfn.XLOOKUP('Training programme data entry'!$C$14,$B$329:$B$362,O329:O362)</f>
        <v>1</v>
      </c>
      <c r="P511" s="86">
        <f>_xlfn.XLOOKUP('Training programme data entry'!$C$14,$B$329:$B$362,P329:P362)</f>
        <v>0.4</v>
      </c>
      <c r="Q511" s="86">
        <f>_xlfn.XLOOKUP('Training programme data entry'!$C$14,$B$329:$B$362,Q329:Q362)</f>
        <v>0.2</v>
      </c>
    </row>
    <row r="512" spans="1:17" ht="14.05" customHeight="1" x14ac:dyDescent="0.5">
      <c r="A512" s="77" t="str">
        <v>Business management</v>
      </c>
      <c r="C512" s="86">
        <f>_xlfn.XLOOKUP('Training programme data entry'!$C$14,$B$369:$B$402,C369:C402)</f>
        <v>0.1</v>
      </c>
      <c r="D512" s="86">
        <f>_xlfn.XLOOKUP('Training programme data entry'!$C$14,$B$369:$B$402,D369:D402)</f>
        <v>0.1</v>
      </c>
      <c r="E512" s="86">
        <f>_xlfn.XLOOKUP('Training programme data entry'!$C$14,$B$369:$B$402,E369:E402)</f>
        <v>0.1</v>
      </c>
      <c r="F512" s="86">
        <f>_xlfn.XLOOKUP('Training programme data entry'!$C$14,$B$369:$B$402,F369:F402)</f>
        <v>0.1</v>
      </c>
      <c r="G512" s="86">
        <f>_xlfn.XLOOKUP('Training programme data entry'!$C$14,$B$369:$B$402,G369:G402)</f>
        <v>0.1</v>
      </c>
      <c r="H512" s="86">
        <f>_xlfn.XLOOKUP('Training programme data entry'!$C$14,$B$369:$B$402,H369:H402)</f>
        <v>0.1</v>
      </c>
      <c r="I512" s="86">
        <f>_xlfn.XLOOKUP('Training programme data entry'!$C$14,$B$369:$B$402,I369:I402)</f>
        <v>0.1</v>
      </c>
      <c r="J512" s="86">
        <f>_xlfn.XLOOKUP('Training programme data entry'!$C$14,$B$369:$B$402,J369:J402)</f>
        <v>0.1</v>
      </c>
      <c r="K512" s="86">
        <f>_xlfn.XLOOKUP('Training programme data entry'!$C$14,$B$369:$B$402,K369:K402)</f>
        <v>0.1</v>
      </c>
      <c r="L512" s="86">
        <f>_xlfn.XLOOKUP('Training programme data entry'!$C$14,$B$369:$B$402,L369:L402)</f>
        <v>0.1</v>
      </c>
      <c r="M512" s="86">
        <f>_xlfn.XLOOKUP('Training programme data entry'!$C$14,$B$369:$B$402,M369:M402)</f>
        <v>0.1</v>
      </c>
      <c r="N512" s="86">
        <f>_xlfn.XLOOKUP('Training programme data entry'!$C$14,$B$369:$B$402,N369:N402)</f>
        <v>0.1</v>
      </c>
      <c r="O512" s="86">
        <f>_xlfn.XLOOKUP('Training programme data entry'!$C$14,$B$369:$B$402,O369:O402)</f>
        <v>0.1</v>
      </c>
      <c r="P512" s="86">
        <f>_xlfn.XLOOKUP('Training programme data entry'!$C$14,$B$369:$B$402,P369:P402)</f>
        <v>0.1</v>
      </c>
      <c r="Q512" s="86">
        <f>_xlfn.XLOOKUP('Training programme data entry'!$C$14,$B$369:$B$402,Q369:Q402)</f>
        <v>0.1</v>
      </c>
    </row>
    <row r="515" spans="1:17" ht="14.05" customHeight="1" x14ac:dyDescent="0.5">
      <c r="A515" s="30" t="s">
        <v>248</v>
      </c>
      <c r="C515" s="86" cm="1">
        <f t="array" ref="C515:Q515">TRANSPOSE('Training programme data entry'!$C$46:$C$60)</f>
        <v>0</v>
      </c>
      <c r="D515" s="86">
        <v>0</v>
      </c>
      <c r="E515" s="86">
        <v>0.85</v>
      </c>
      <c r="F515" s="86">
        <v>0</v>
      </c>
      <c r="G515" s="86">
        <v>0</v>
      </c>
      <c r="H515" s="86">
        <v>0</v>
      </c>
      <c r="I515" s="86">
        <v>0</v>
      </c>
      <c r="J515" s="86">
        <v>0</v>
      </c>
      <c r="K515" s="86">
        <v>0</v>
      </c>
      <c r="L515" s="86">
        <v>0</v>
      </c>
      <c r="M515" s="86">
        <v>0</v>
      </c>
      <c r="N515" s="86">
        <v>0.15</v>
      </c>
      <c r="O515" s="86">
        <v>0</v>
      </c>
      <c r="P515" s="86">
        <v>0</v>
      </c>
      <c r="Q515" s="86">
        <v>0</v>
      </c>
    </row>
    <row r="517" spans="1:17" ht="14.05" customHeight="1" x14ac:dyDescent="0.5">
      <c r="A517" s="30" t="s">
        <v>245</v>
      </c>
    </row>
    <row r="518" spans="1:17" ht="14.05" customHeight="1" x14ac:dyDescent="0.5">
      <c r="A518" s="77" t="str" cm="1">
        <f t="array" ref="A518:A519">capability_areas</f>
        <v>Production management</v>
      </c>
      <c r="B518" s="86">
        <f>SUMPRODUCT(C511:Q511,_xlfn.ANCHORARRAY($C$515))</f>
        <v>1</v>
      </c>
    </row>
    <row r="519" spans="1:17" ht="14.05" customHeight="1" x14ac:dyDescent="0.5">
      <c r="A519" s="77" t="str">
        <v>Business management</v>
      </c>
      <c r="B519" s="86">
        <f>SUMPRODUCT(C512:Q512,_xlfn.ANCHORARRAY($C$515))</f>
        <v>0.1</v>
      </c>
    </row>
    <row r="521" spans="1:17" ht="14.05" customHeight="1" x14ac:dyDescent="0.5">
      <c r="A521" s="3" t="s">
        <v>249</v>
      </c>
      <c r="B521" s="78">
        <f>SUMPRODUCT(B489:B490,B518:B519)</f>
        <v>4297.6971490372907</v>
      </c>
    </row>
    <row r="522" spans="1:17" ht="14.05" customHeight="1" x14ac:dyDescent="0.5">
      <c r="A522" s="3" t="s">
        <v>306</v>
      </c>
      <c r="B522" s="3" t="str">
        <f>_xlfn.XLOOKUP(B521,output_range_mid,output_range_range,0,1,1)</f>
        <v>3,000 to 10,000</v>
      </c>
    </row>
    <row r="525" spans="1:17" ht="14.05" customHeight="1" x14ac:dyDescent="0.5">
      <c r="A525" s="56" t="s">
        <v>240</v>
      </c>
      <c r="B525" s="85">
        <f>SUMPRODUCT('Training programme data entry'!$C$71:$C$75,'Business profitability model'!$B$473:$B$477)</f>
        <v>4.44400740547196</v>
      </c>
    </row>
    <row r="526" spans="1:17" ht="14.05" customHeight="1" x14ac:dyDescent="0.5">
      <c r="A526" s="3" t="s">
        <v>423</v>
      </c>
      <c r="B526" s="87">
        <f>B521*B525</f>
        <v>19098.997956797451</v>
      </c>
    </row>
    <row r="527" spans="1:17" ht="14.05" customHeight="1" x14ac:dyDescent="0.5">
      <c r="A527" s="3" t="s">
        <v>422</v>
      </c>
      <c r="B527" s="3" t="str">
        <f>_xlfn.XLOOKUP(B526,output_range_mid,output_range_range,0,1,1)</f>
        <v>10,000 to 30,000</v>
      </c>
    </row>
  </sheetData>
  <mergeCells count="8">
    <mergeCell ref="A10:A12"/>
    <mergeCell ref="A18:A20"/>
    <mergeCell ref="A364:A365"/>
    <mergeCell ref="B130:C130"/>
    <mergeCell ref="A73:A77"/>
    <mergeCell ref="B69:C69"/>
    <mergeCell ref="B70:C70"/>
    <mergeCell ref="B129:C129"/>
  </mergeCells>
  <phoneticPr fontId="2" type="noConversion"/>
  <conditionalFormatting sqref="C329:Q362">
    <cfRule type="colorScale" priority="6">
      <colorScale>
        <cfvo type="num" val="0"/>
        <cfvo type="num" val="1"/>
        <color theme="3" tint="0.79998168889431442"/>
        <color theme="3" tint="-0.249977111117893"/>
      </colorScale>
    </cfRule>
  </conditionalFormatting>
  <conditionalFormatting sqref="C369:Q371 C397:Q402">
    <cfRule type="colorScale" priority="1">
      <colorScale>
        <cfvo type="num" val="0"/>
        <cfvo type="num" val="1"/>
        <color theme="3" tint="0.79998168889431442"/>
        <color theme="3" tint="-0.249977111117893"/>
      </colorScale>
    </cfRule>
  </conditionalFormatting>
  <dataValidations count="3">
    <dataValidation type="list" allowBlank="1" showInputMessage="1" showErrorMessage="1" sqref="B69" xr:uid="{3DC0E7E2-6C46-414E-91B1-8E1BB601784E}">
      <formula1>roles</formula1>
    </dataValidation>
    <dataValidation type="list" allowBlank="1" showInputMessage="1" showErrorMessage="1" sqref="B70 B130" xr:uid="{DD7FA094-0921-4835-B3A8-CD228AD8EC09}">
      <formula1>capability_areas</formula1>
    </dataValidation>
    <dataValidation type="list" allowBlank="1" showInputMessage="1" showErrorMessage="1" sqref="B129:C129" xr:uid="{F96515FF-14DE-4222-B48E-A7E61C7420EC}">
      <formula1>industries</formula1>
    </dataValidation>
  </dataValidations>
  <pageMargins left="0.7" right="0.7" top="0.75" bottom="0.75" header="0.3" footer="0.3"/>
  <pageSetup orientation="portrait" r:id="rId1"/>
  <drawing r:id="rId2"/>
  <legacyDrawing r:id="rId3"/>
  <tableParts count="2"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4D125-A3AF-4FF5-8B9B-5B4F9930C6F1}">
  <sheetPr codeName="Sheet4">
    <tabColor theme="3"/>
  </sheetPr>
  <dimension ref="A1:AZ111"/>
  <sheetViews>
    <sheetView topLeftCell="A69" workbookViewId="0">
      <selection activeCell="H48" sqref="H48"/>
    </sheetView>
  </sheetViews>
  <sheetFormatPr defaultColWidth="8.734375" defaultRowHeight="12.9" x14ac:dyDescent="0.5"/>
  <cols>
    <col min="1" max="1" width="56.5234375" style="3" customWidth="1"/>
    <col min="2" max="3" width="12.734375" style="82" customWidth="1"/>
    <col min="4" max="4" width="12.734375" style="152" customWidth="1"/>
    <col min="5" max="12" width="12.734375" style="3" customWidth="1"/>
    <col min="13" max="13" width="12.5234375" style="3" customWidth="1"/>
    <col min="14" max="16384" width="8.734375" style="3"/>
  </cols>
  <sheetData>
    <row r="1" spans="1:52" ht="37" customHeight="1" x14ac:dyDescent="0.5">
      <c r="A1" s="107" t="s">
        <v>356</v>
      </c>
    </row>
    <row r="3" spans="1:52" ht="14.05" customHeight="1" x14ac:dyDescent="0.5">
      <c r="A3" s="1" t="s">
        <v>578</v>
      </c>
      <c r="B3" s="149"/>
      <c r="C3" s="149"/>
      <c r="D3" s="15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</row>
    <row r="5" spans="1:52" x14ac:dyDescent="0.5">
      <c r="A5" s="3" t="s">
        <v>384</v>
      </c>
      <c r="B5" s="155">
        <v>2500000</v>
      </c>
    </row>
    <row r="7" spans="1:52" ht="35.049999999999997" customHeight="1" x14ac:dyDescent="0.5">
      <c r="A7" s="150" t="s">
        <v>357</v>
      </c>
      <c r="B7" s="151" t="s">
        <v>315</v>
      </c>
      <c r="C7" s="151" t="s">
        <v>316</v>
      </c>
      <c r="D7" s="154" t="s">
        <v>312</v>
      </c>
      <c r="E7" s="156" t="s">
        <v>313</v>
      </c>
    </row>
    <row r="8" spans="1:52" x14ac:dyDescent="0.5">
      <c r="A8" s="3" t="s">
        <v>358</v>
      </c>
      <c r="B8" s="82">
        <v>0</v>
      </c>
      <c r="C8" s="82">
        <v>0</v>
      </c>
      <c r="D8" s="165">
        <v>0.55000000000000004</v>
      </c>
      <c r="E8" s="87">
        <f>$B$5*D8</f>
        <v>1375000</v>
      </c>
    </row>
    <row r="9" spans="1:52" x14ac:dyDescent="0.5">
      <c r="A9" s="3" t="s">
        <v>359</v>
      </c>
      <c r="B9" s="82" t="s">
        <v>360</v>
      </c>
      <c r="C9" s="82">
        <v>120</v>
      </c>
      <c r="D9" s="165">
        <v>0.6</v>
      </c>
      <c r="E9" s="87">
        <f t="shared" ref="E9:E21" si="0">$B$5*D9</f>
        <v>1500000</v>
      </c>
    </row>
    <row r="10" spans="1:52" x14ac:dyDescent="0.5">
      <c r="A10" s="3" t="s">
        <v>361</v>
      </c>
      <c r="B10" s="82" t="s">
        <v>362</v>
      </c>
      <c r="C10" s="82">
        <v>120</v>
      </c>
      <c r="D10" s="165">
        <v>0.65</v>
      </c>
      <c r="E10" s="87">
        <f t="shared" si="0"/>
        <v>1625000</v>
      </c>
    </row>
    <row r="11" spans="1:52" x14ac:dyDescent="0.5">
      <c r="A11" s="3" t="s">
        <v>363</v>
      </c>
      <c r="B11" s="82" t="s">
        <v>364</v>
      </c>
      <c r="C11" s="82">
        <v>120</v>
      </c>
      <c r="D11" s="165">
        <v>0.7</v>
      </c>
      <c r="E11" s="87">
        <f t="shared" si="0"/>
        <v>1750000</v>
      </c>
    </row>
    <row r="12" spans="1:52" x14ac:dyDescent="0.5">
      <c r="A12" s="3" t="s">
        <v>365</v>
      </c>
      <c r="B12" s="82">
        <v>2</v>
      </c>
      <c r="C12" s="82">
        <v>60</v>
      </c>
      <c r="D12" s="165">
        <v>0.7</v>
      </c>
      <c r="E12" s="87">
        <f t="shared" si="0"/>
        <v>1750000</v>
      </c>
    </row>
    <row r="13" spans="1:52" x14ac:dyDescent="0.5">
      <c r="A13" s="3" t="s">
        <v>366</v>
      </c>
      <c r="B13" s="82">
        <v>3</v>
      </c>
      <c r="C13" s="82">
        <v>60</v>
      </c>
      <c r="D13" s="165">
        <v>0.75</v>
      </c>
      <c r="E13" s="87">
        <f t="shared" si="0"/>
        <v>1875000</v>
      </c>
    </row>
    <row r="14" spans="1:52" x14ac:dyDescent="0.5">
      <c r="A14" s="3" t="s">
        <v>367</v>
      </c>
      <c r="B14" s="82">
        <v>4</v>
      </c>
      <c r="C14" s="82">
        <v>240</v>
      </c>
      <c r="D14" s="165">
        <v>0.85</v>
      </c>
      <c r="E14" s="87">
        <f t="shared" si="0"/>
        <v>2125000</v>
      </c>
    </row>
    <row r="15" spans="1:52" x14ac:dyDescent="0.5">
      <c r="A15" s="3" t="s">
        <v>368</v>
      </c>
      <c r="B15" s="82">
        <v>5</v>
      </c>
      <c r="C15" s="82">
        <v>120</v>
      </c>
      <c r="D15" s="165">
        <v>0.9</v>
      </c>
      <c r="E15" s="87">
        <f t="shared" si="0"/>
        <v>2250000</v>
      </c>
    </row>
    <row r="16" spans="1:52" x14ac:dyDescent="0.5">
      <c r="A16" s="3" t="s">
        <v>577</v>
      </c>
      <c r="D16" s="165">
        <v>1</v>
      </c>
      <c r="E16" s="87">
        <f t="shared" si="0"/>
        <v>2500000</v>
      </c>
    </row>
    <row r="17" spans="1:13" x14ac:dyDescent="0.5">
      <c r="A17" s="3" t="s">
        <v>369</v>
      </c>
      <c r="B17" s="82">
        <v>6</v>
      </c>
      <c r="C17" s="82">
        <v>120</v>
      </c>
      <c r="D17" s="165">
        <v>1.1000000000000001</v>
      </c>
      <c r="E17" s="87">
        <f t="shared" si="0"/>
        <v>2750000</v>
      </c>
    </row>
    <row r="18" spans="1:13" x14ac:dyDescent="0.5">
      <c r="A18" s="3" t="s">
        <v>370</v>
      </c>
      <c r="B18" s="82">
        <v>7</v>
      </c>
      <c r="C18" s="82">
        <v>360</v>
      </c>
      <c r="D18" s="165">
        <v>1.4</v>
      </c>
      <c r="E18" s="87">
        <f t="shared" si="0"/>
        <v>3500000</v>
      </c>
    </row>
    <row r="19" spans="1:13" x14ac:dyDescent="0.5">
      <c r="A19" s="3" t="s">
        <v>371</v>
      </c>
      <c r="B19" s="82">
        <v>8</v>
      </c>
      <c r="C19" s="82">
        <v>120</v>
      </c>
      <c r="D19" s="165">
        <v>1.6</v>
      </c>
      <c r="E19" s="87">
        <f t="shared" si="0"/>
        <v>4000000</v>
      </c>
    </row>
    <row r="20" spans="1:13" x14ac:dyDescent="0.5">
      <c r="A20" s="3" t="s">
        <v>372</v>
      </c>
      <c r="B20" s="82">
        <v>9</v>
      </c>
      <c r="C20" s="82">
        <v>240</v>
      </c>
      <c r="D20" s="165">
        <v>1.8</v>
      </c>
      <c r="E20" s="87">
        <f t="shared" si="0"/>
        <v>4500000</v>
      </c>
    </row>
    <row r="21" spans="1:13" x14ac:dyDescent="0.5">
      <c r="A21" s="3" t="s">
        <v>373</v>
      </c>
      <c r="B21" s="82">
        <v>10</v>
      </c>
      <c r="C21" s="82">
        <v>360</v>
      </c>
      <c r="D21" s="165">
        <v>2</v>
      </c>
      <c r="E21" s="87">
        <f t="shared" si="0"/>
        <v>5000000</v>
      </c>
    </row>
    <row r="27" spans="1:13" x14ac:dyDescent="0.5">
      <c r="A27" s="3" t="s">
        <v>314</v>
      </c>
      <c r="B27" s="157">
        <v>0.5</v>
      </c>
    </row>
    <row r="30" spans="1:13" x14ac:dyDescent="0.5">
      <c r="A30" s="30" t="s">
        <v>376</v>
      </c>
      <c r="B30" s="151" t="str" cm="1">
        <f t="array" ref="B30:L30">TRANSPOSE(nzqf_levels)</f>
        <v>L10</v>
      </c>
      <c r="C30" s="151" t="str">
        <v>L9</v>
      </c>
      <c r="D30" s="151" t="str">
        <v>L8</v>
      </c>
      <c r="E30" s="151" t="str">
        <v>L7</v>
      </c>
      <c r="F30" s="151" t="str">
        <v>L6</v>
      </c>
      <c r="G30" s="151" t="str">
        <v>L5</v>
      </c>
      <c r="H30" s="151" t="str">
        <v>L4</v>
      </c>
      <c r="I30" s="151" t="str">
        <v>L3/4</v>
      </c>
      <c r="J30" s="151" t="str">
        <v>L3</v>
      </c>
      <c r="K30" s="151" t="str">
        <v>L2</v>
      </c>
      <c r="L30" s="151" t="str">
        <v>L1</v>
      </c>
      <c r="M30" s="151" t="s">
        <v>378</v>
      </c>
    </row>
    <row r="31" spans="1:13" x14ac:dyDescent="0.5">
      <c r="A31" s="3" t="str">
        <f t="shared" ref="A31:A38" si="1">A8</f>
        <v>None</v>
      </c>
      <c r="B31" s="244"/>
      <c r="C31" s="245"/>
      <c r="D31" s="178"/>
      <c r="E31" s="178"/>
      <c r="F31" s="178"/>
      <c r="G31" s="178"/>
      <c r="H31" s="178"/>
      <c r="I31" s="178"/>
      <c r="J31" s="178"/>
      <c r="K31" s="178"/>
      <c r="L31" s="178"/>
      <c r="M31" s="246">
        <v>0.25</v>
      </c>
    </row>
    <row r="32" spans="1:13" x14ac:dyDescent="0.5">
      <c r="A32" s="3" t="str">
        <f t="shared" si="1"/>
        <v>NCEA - L1</v>
      </c>
      <c r="B32" s="244"/>
      <c r="C32" s="245"/>
      <c r="D32" s="178"/>
      <c r="E32" s="178"/>
      <c r="F32" s="178"/>
      <c r="G32" s="178"/>
      <c r="H32" s="178"/>
      <c r="I32" s="178"/>
      <c r="J32" s="178"/>
      <c r="K32" s="178"/>
      <c r="L32" s="178"/>
      <c r="M32" s="246">
        <v>0.25</v>
      </c>
    </row>
    <row r="33" spans="1:13" x14ac:dyDescent="0.5">
      <c r="A33" s="3" t="str">
        <f t="shared" si="1"/>
        <v>NCEA - L2</v>
      </c>
      <c r="B33" s="244"/>
      <c r="C33" s="245"/>
      <c r="D33" s="178"/>
      <c r="E33" s="178"/>
      <c r="F33" s="178"/>
      <c r="G33" s="178"/>
      <c r="H33" s="178"/>
      <c r="I33" s="178"/>
      <c r="J33" s="178"/>
      <c r="K33" s="178"/>
      <c r="L33" s="246">
        <v>1</v>
      </c>
      <c r="M33" s="246">
        <v>0.25</v>
      </c>
    </row>
    <row r="34" spans="1:13" x14ac:dyDescent="0.5">
      <c r="A34" s="3" t="str">
        <f t="shared" si="1"/>
        <v>NCEA - L3</v>
      </c>
      <c r="B34" s="244"/>
      <c r="C34" s="245"/>
      <c r="D34" s="178"/>
      <c r="E34" s="178"/>
      <c r="F34" s="178"/>
      <c r="G34" s="178"/>
      <c r="H34" s="178"/>
      <c r="I34" s="178"/>
      <c r="J34" s="178"/>
      <c r="K34" s="178"/>
      <c r="L34" s="178"/>
      <c r="M34" s="246">
        <v>0.25</v>
      </c>
    </row>
    <row r="35" spans="1:13" x14ac:dyDescent="0.5">
      <c r="A35" s="3" t="str">
        <f t="shared" si="1"/>
        <v>Certificate - L2 - 60 credits</v>
      </c>
      <c r="B35" s="244"/>
      <c r="C35" s="245"/>
      <c r="D35" s="178"/>
      <c r="E35" s="178"/>
      <c r="F35" s="178"/>
      <c r="G35" s="178"/>
      <c r="H35" s="178"/>
      <c r="I35" s="178"/>
      <c r="J35" s="178"/>
      <c r="K35" s="246">
        <v>1</v>
      </c>
      <c r="L35" s="178"/>
      <c r="M35" s="178"/>
    </row>
    <row r="36" spans="1:13" x14ac:dyDescent="0.5">
      <c r="A36" s="3" t="str">
        <f t="shared" si="1"/>
        <v>Certificate - L3 - 60 credits</v>
      </c>
      <c r="B36" s="244"/>
      <c r="C36" s="245"/>
      <c r="D36" s="178"/>
      <c r="E36" s="178"/>
      <c r="F36" s="178"/>
      <c r="G36" s="178"/>
      <c r="H36" s="178"/>
      <c r="I36" s="178"/>
      <c r="J36" s="246">
        <v>1</v>
      </c>
      <c r="K36" s="178"/>
      <c r="L36" s="178"/>
      <c r="M36" s="178"/>
    </row>
    <row r="37" spans="1:13" x14ac:dyDescent="0.5">
      <c r="A37" s="3" t="str">
        <f t="shared" si="1"/>
        <v>Apprenticeship - L4 - 240 credits</v>
      </c>
      <c r="B37" s="244"/>
      <c r="C37" s="245"/>
      <c r="D37" s="178"/>
      <c r="E37" s="178"/>
      <c r="F37" s="178"/>
      <c r="G37" s="178"/>
      <c r="H37" s="246">
        <v>1</v>
      </c>
      <c r="I37" s="246">
        <v>1</v>
      </c>
      <c r="J37" s="178"/>
      <c r="K37" s="178"/>
      <c r="L37" s="178"/>
      <c r="M37" s="178"/>
    </row>
    <row r="38" spans="1:13" x14ac:dyDescent="0.5">
      <c r="A38" s="3" t="str">
        <f t="shared" si="1"/>
        <v>Diploma - L5 - 120 credits</v>
      </c>
      <c r="B38" s="244"/>
      <c r="C38" s="245"/>
      <c r="D38" s="178"/>
      <c r="E38" s="178"/>
      <c r="F38" s="178"/>
      <c r="G38" s="246">
        <v>1</v>
      </c>
      <c r="H38" s="178"/>
      <c r="I38" s="178"/>
      <c r="J38" s="178"/>
      <c r="K38" s="178"/>
      <c r="L38" s="178"/>
      <c r="M38" s="178"/>
    </row>
    <row r="39" spans="1:13" x14ac:dyDescent="0.5">
      <c r="A39" s="3" t="str">
        <f>A17</f>
        <v>Diploma - L6 - 120 credits</v>
      </c>
      <c r="B39" s="244"/>
      <c r="C39" s="245"/>
      <c r="D39" s="178"/>
      <c r="E39" s="178"/>
      <c r="F39" s="246">
        <v>1</v>
      </c>
      <c r="G39" s="178"/>
      <c r="H39" s="178"/>
      <c r="I39" s="178"/>
      <c r="J39" s="178"/>
      <c r="K39" s="178"/>
      <c r="L39" s="178"/>
      <c r="M39" s="178"/>
    </row>
    <row r="40" spans="1:13" x14ac:dyDescent="0.5">
      <c r="A40" s="3" t="str">
        <f>A18</f>
        <v>Degreee - L7 - 360 credits</v>
      </c>
      <c r="B40" s="244"/>
      <c r="C40" s="245"/>
      <c r="D40" s="178"/>
      <c r="E40" s="246">
        <v>1</v>
      </c>
      <c r="F40" s="178"/>
      <c r="G40" s="178"/>
      <c r="H40" s="178"/>
      <c r="I40" s="178"/>
      <c r="J40" s="178"/>
      <c r="K40" s="178"/>
      <c r="L40" s="178"/>
      <c r="M40" s="178"/>
    </row>
    <row r="41" spans="1:13" x14ac:dyDescent="0.5">
      <c r="A41" s="3" t="str">
        <f>A19</f>
        <v>Post-grad diploma - 120 credits</v>
      </c>
      <c r="B41" s="244"/>
      <c r="C41" s="245"/>
      <c r="D41" s="246">
        <v>1</v>
      </c>
      <c r="E41" s="178"/>
      <c r="F41" s="178"/>
      <c r="G41" s="178"/>
      <c r="H41" s="178"/>
      <c r="I41" s="178"/>
      <c r="J41" s="178"/>
      <c r="K41" s="178"/>
      <c r="L41" s="178"/>
      <c r="M41" s="178"/>
    </row>
    <row r="42" spans="1:13" x14ac:dyDescent="0.5">
      <c r="A42" s="3" t="str">
        <f>A20</f>
        <v>Masters degree - 240 credits</v>
      </c>
      <c r="B42" s="244"/>
      <c r="C42" s="246">
        <v>1</v>
      </c>
      <c r="D42" s="178"/>
      <c r="E42" s="178"/>
      <c r="F42" s="178"/>
      <c r="G42" s="178"/>
      <c r="H42" s="178"/>
      <c r="I42" s="178"/>
      <c r="J42" s="178"/>
      <c r="K42" s="178"/>
      <c r="L42" s="178"/>
      <c r="M42" s="178"/>
    </row>
    <row r="43" spans="1:13" x14ac:dyDescent="0.5">
      <c r="A43" s="3" t="str">
        <f>A21</f>
        <v>Doctorate - 360 credits</v>
      </c>
      <c r="B43" s="246">
        <v>1</v>
      </c>
      <c r="C43" s="245"/>
      <c r="D43" s="178"/>
      <c r="E43" s="178"/>
      <c r="F43" s="178"/>
      <c r="G43" s="178"/>
      <c r="H43" s="178"/>
      <c r="I43" s="178"/>
      <c r="J43" s="178"/>
      <c r="K43" s="178"/>
      <c r="L43" s="178"/>
      <c r="M43" s="178"/>
    </row>
    <row r="44" spans="1:13" x14ac:dyDescent="0.5">
      <c r="B44" s="244"/>
      <c r="C44" s="245"/>
      <c r="D44" s="178"/>
      <c r="E44" s="178"/>
      <c r="F44" s="178"/>
      <c r="G44" s="178"/>
      <c r="H44" s="178"/>
      <c r="I44" s="178"/>
      <c r="J44" s="178"/>
      <c r="K44" s="178"/>
      <c r="L44" s="178"/>
      <c r="M44" s="178"/>
    </row>
    <row r="49" spans="1:5" x14ac:dyDescent="0.5">
      <c r="A49" s="3" t="s">
        <v>383</v>
      </c>
      <c r="C49" s="152"/>
      <c r="D49" s="3"/>
      <c r="E49" s="164">
        <v>0.45</v>
      </c>
    </row>
    <row r="50" spans="1:5" x14ac:dyDescent="0.5">
      <c r="D50" s="181" t="s">
        <v>579</v>
      </c>
      <c r="E50" s="181" t="s">
        <v>580</v>
      </c>
    </row>
    <row r="51" spans="1:5" x14ac:dyDescent="0.5">
      <c r="B51" s="158"/>
      <c r="D51" s="3">
        <v>0</v>
      </c>
      <c r="E51" s="47">
        <f t="shared" ref="E51:E68" si="2">(D51/$D$63)^$E$49</f>
        <v>0</v>
      </c>
    </row>
    <row r="52" spans="1:5" x14ac:dyDescent="0.5">
      <c r="B52" s="158"/>
      <c r="D52" s="3">
        <v>100</v>
      </c>
      <c r="E52" s="47">
        <f t="shared" si="2"/>
        <v>0.32686501469602802</v>
      </c>
    </row>
    <row r="53" spans="1:5" x14ac:dyDescent="0.5">
      <c r="B53" s="158"/>
      <c r="D53" s="3">
        <v>200</v>
      </c>
      <c r="E53" s="47">
        <f t="shared" si="2"/>
        <v>0.44651076859939137</v>
      </c>
    </row>
    <row r="54" spans="1:5" x14ac:dyDescent="0.5">
      <c r="B54" s="158"/>
      <c r="D54" s="3">
        <v>300</v>
      </c>
      <c r="E54" s="47">
        <f t="shared" si="2"/>
        <v>0.53588673126814657</v>
      </c>
    </row>
    <row r="55" spans="1:5" x14ac:dyDescent="0.5">
      <c r="B55" s="158"/>
      <c r="D55" s="3">
        <v>400</v>
      </c>
      <c r="E55" s="47">
        <f t="shared" si="2"/>
        <v>0.60995168498111507</v>
      </c>
    </row>
    <row r="56" spans="1:5" x14ac:dyDescent="0.5">
      <c r="B56" s="158"/>
      <c r="D56" s="3">
        <v>500</v>
      </c>
      <c r="E56" s="47">
        <f t="shared" si="2"/>
        <v>0.67438040254799103</v>
      </c>
    </row>
    <row r="57" spans="1:5" x14ac:dyDescent="0.5">
      <c r="B57" s="158"/>
      <c r="D57" s="3">
        <v>600</v>
      </c>
      <c r="E57" s="47">
        <f t="shared" si="2"/>
        <v>0.73204284797281272</v>
      </c>
    </row>
    <row r="58" spans="1:5" x14ac:dyDescent="0.5">
      <c r="B58" s="158"/>
      <c r="D58" s="3">
        <v>700</v>
      </c>
      <c r="E58" s="47">
        <f t="shared" si="2"/>
        <v>0.78462575089804354</v>
      </c>
    </row>
    <row r="59" spans="1:5" x14ac:dyDescent="0.5">
      <c r="B59" s="158"/>
      <c r="D59" s="3">
        <v>800</v>
      </c>
      <c r="E59" s="47">
        <f t="shared" si="2"/>
        <v>0.83321855635937858</v>
      </c>
    </row>
    <row r="60" spans="1:5" x14ac:dyDescent="0.5">
      <c r="B60" s="158"/>
      <c r="D60" s="3">
        <v>900</v>
      </c>
      <c r="E60" s="47">
        <f t="shared" si="2"/>
        <v>0.87857242542864411</v>
      </c>
    </row>
    <row r="61" spans="1:5" x14ac:dyDescent="0.5">
      <c r="B61" s="158"/>
      <c r="D61" s="3">
        <v>1000</v>
      </c>
      <c r="E61" s="47">
        <f t="shared" si="2"/>
        <v>0.92123077824679023</v>
      </c>
    </row>
    <row r="62" spans="1:5" x14ac:dyDescent="0.5">
      <c r="B62" s="158"/>
      <c r="D62" s="3">
        <v>1100</v>
      </c>
      <c r="E62" s="47">
        <f t="shared" si="2"/>
        <v>0.96160153428773953</v>
      </c>
    </row>
    <row r="63" spans="1:5" x14ac:dyDescent="0.5">
      <c r="B63" s="158"/>
      <c r="D63" s="3">
        <v>1200</v>
      </c>
      <c r="E63" s="47">
        <f t="shared" si="2"/>
        <v>1</v>
      </c>
    </row>
    <row r="64" spans="1:5" x14ac:dyDescent="0.5">
      <c r="B64" s="3"/>
      <c r="D64" s="3">
        <v>1300</v>
      </c>
      <c r="E64" s="47">
        <f t="shared" si="2"/>
        <v>1.0366757696041264</v>
      </c>
    </row>
    <row r="65" spans="1:52" x14ac:dyDescent="0.5">
      <c r="B65" s="158"/>
      <c r="D65" s="3">
        <v>1400</v>
      </c>
      <c r="E65" s="47">
        <f t="shared" si="2"/>
        <v>1.0718303622128738</v>
      </c>
    </row>
    <row r="66" spans="1:52" x14ac:dyDescent="0.5">
      <c r="B66" s="158"/>
      <c r="D66" s="3">
        <v>1500</v>
      </c>
      <c r="E66" s="47">
        <f t="shared" si="2"/>
        <v>1.1056292148268607</v>
      </c>
    </row>
    <row r="67" spans="1:52" x14ac:dyDescent="0.5">
      <c r="B67" s="158"/>
      <c r="D67" s="3">
        <v>1600</v>
      </c>
      <c r="E67" s="47">
        <f t="shared" si="2"/>
        <v>1.1382100906616923</v>
      </c>
    </row>
    <row r="68" spans="1:52" x14ac:dyDescent="0.5">
      <c r="B68" s="158"/>
      <c r="D68" s="3">
        <v>1700</v>
      </c>
      <c r="E68" s="47">
        <f t="shared" si="2"/>
        <v>1.1696891297315086</v>
      </c>
    </row>
    <row r="69" spans="1:52" x14ac:dyDescent="0.5">
      <c r="B69" s="158"/>
      <c r="D69" s="3"/>
      <c r="E69" s="47"/>
    </row>
    <row r="70" spans="1:52" ht="14.05" customHeight="1" x14ac:dyDescent="0.5">
      <c r="A70" s="56" t="s">
        <v>217</v>
      </c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  <c r="AV70" s="57"/>
      <c r="AW70" s="57"/>
      <c r="AX70" s="57"/>
      <c r="AY70" s="57"/>
      <c r="AZ70" s="57"/>
    </row>
    <row r="71" spans="1:52" x14ac:dyDescent="0.5">
      <c r="B71" s="158"/>
      <c r="D71" s="3"/>
      <c r="E71" s="47"/>
    </row>
    <row r="75" spans="1:52" x14ac:dyDescent="0.5">
      <c r="B75" s="160" t="str" cm="1">
        <f t="array" ref="B75:L75">TRANSPOSE(nzqf_levels)</f>
        <v>L10</v>
      </c>
      <c r="C75" s="160" t="str">
        <v>L9</v>
      </c>
      <c r="D75" s="160" t="str">
        <v>L8</v>
      </c>
      <c r="E75" s="160" t="str">
        <v>L7</v>
      </c>
      <c r="F75" s="160" t="str">
        <v>L6</v>
      </c>
      <c r="G75" s="160" t="str">
        <v>L5</v>
      </c>
      <c r="H75" s="160" t="str">
        <v>L4</v>
      </c>
      <c r="I75" s="160" t="str">
        <v>L3/4</v>
      </c>
      <c r="J75" s="160" t="str">
        <v>L3</v>
      </c>
      <c r="K75" s="160" t="str">
        <v>L2</v>
      </c>
      <c r="L75" s="160" t="str">
        <v>L1</v>
      </c>
      <c r="M75" s="160" t="str">
        <f>M30</f>
        <v>No tertiary</v>
      </c>
    </row>
    <row r="76" spans="1:52" x14ac:dyDescent="0.5">
      <c r="A76" s="3" t="s">
        <v>328</v>
      </c>
      <c r="B76" s="159" cm="1">
        <f t="array" ref="B76:H76">TRANSPOSE('Training programme data entry'!$C$80:$C$86)</f>
        <v>0</v>
      </c>
      <c r="C76" s="159">
        <v>0</v>
      </c>
      <c r="D76" s="159">
        <v>0</v>
      </c>
      <c r="E76" s="159">
        <v>0</v>
      </c>
      <c r="F76" s="159">
        <v>0</v>
      </c>
      <c r="G76" s="159">
        <v>0</v>
      </c>
      <c r="H76" s="159">
        <v>0</v>
      </c>
      <c r="I76" s="159"/>
      <c r="J76" s="159" cm="1">
        <f t="array" ref="J76:L76">TRANSPOSE('Training programme data entry'!$C$87:$C$89)</f>
        <v>0</v>
      </c>
      <c r="K76" s="159">
        <v>0</v>
      </c>
      <c r="L76" s="159">
        <v>0</v>
      </c>
    </row>
    <row r="77" spans="1:52" x14ac:dyDescent="0.5">
      <c r="A77" s="3" t="s">
        <v>377</v>
      </c>
      <c r="B77" s="159" cm="1">
        <f t="array" ref="B77:H77">TRANSPOSE('Training programme data entry'!$C$90:$C$96)</f>
        <v>0</v>
      </c>
      <c r="C77" s="159">
        <v>0</v>
      </c>
      <c r="D77" s="159">
        <v>0</v>
      </c>
      <c r="E77" s="159">
        <v>0</v>
      </c>
      <c r="F77" s="159">
        <v>0</v>
      </c>
      <c r="G77" s="159">
        <v>0</v>
      </c>
      <c r="H77" s="159">
        <v>0</v>
      </c>
      <c r="I77" s="159"/>
      <c r="J77" s="159" cm="1">
        <f t="array" ref="J77:L77">TRANSPOSE('Training programme data entry'!$C$97:$C$99)</f>
        <v>0.1</v>
      </c>
      <c r="K77" s="159">
        <v>0.1</v>
      </c>
      <c r="L77" s="159">
        <v>0</v>
      </c>
      <c r="M77" s="159">
        <f>'Training programme data entry'!C79</f>
        <v>0.8</v>
      </c>
    </row>
    <row r="78" spans="1:52" x14ac:dyDescent="0.5">
      <c r="A78" s="3" t="s">
        <v>8</v>
      </c>
      <c r="B78" s="161">
        <f t="shared" ref="B78:K78" si="3">SUM(B76:B77)</f>
        <v>0</v>
      </c>
      <c r="C78" s="161">
        <f t="shared" si="3"/>
        <v>0</v>
      </c>
      <c r="D78" s="161">
        <f t="shared" si="3"/>
        <v>0</v>
      </c>
      <c r="E78" s="161">
        <f t="shared" si="3"/>
        <v>0</v>
      </c>
      <c r="F78" s="161">
        <f t="shared" si="3"/>
        <v>0</v>
      </c>
      <c r="G78" s="161">
        <f t="shared" si="3"/>
        <v>0</v>
      </c>
      <c r="H78" s="161">
        <f t="shared" si="3"/>
        <v>0</v>
      </c>
      <c r="I78" s="161">
        <f t="shared" si="3"/>
        <v>0</v>
      </c>
      <c r="J78" s="161">
        <f t="shared" si="3"/>
        <v>0.1</v>
      </c>
      <c r="K78" s="161">
        <f t="shared" si="3"/>
        <v>0.1</v>
      </c>
      <c r="L78" s="161"/>
      <c r="M78" s="161">
        <f>SUM(M76:M77)</f>
        <v>0.8</v>
      </c>
      <c r="N78" s="247">
        <f>SUM(B78:M78)</f>
        <v>1</v>
      </c>
    </row>
    <row r="80" spans="1:52" x14ac:dyDescent="0.5">
      <c r="A80" s="30" t="s">
        <v>380</v>
      </c>
    </row>
    <row r="81" spans="1:6" x14ac:dyDescent="0.5">
      <c r="A81" s="3" t="s">
        <v>79</v>
      </c>
      <c r="B81" s="82" t="str">
        <f>'Training programme data entry'!E12</f>
        <v>L3</v>
      </c>
    </row>
    <row r="82" spans="1:6" x14ac:dyDescent="0.5">
      <c r="A82" s="3" t="s">
        <v>386</v>
      </c>
      <c r="B82" s="82">
        <f>_xlfn.XLOOKUP(B81,nzqf_levels,Lists!$B$31:$B$41)</f>
        <v>3</v>
      </c>
    </row>
    <row r="83" spans="1:6" x14ac:dyDescent="0.5">
      <c r="A83" s="3" t="s">
        <v>316</v>
      </c>
      <c r="B83" s="82">
        <f>'Training programme data entry'!C9</f>
        <v>30</v>
      </c>
    </row>
    <row r="84" spans="1:6" x14ac:dyDescent="0.5">
      <c r="B84" s="158"/>
    </row>
    <row r="85" spans="1:6" x14ac:dyDescent="0.5">
      <c r="A85" s="30" t="s">
        <v>236</v>
      </c>
      <c r="B85" s="158"/>
    </row>
    <row r="86" spans="1:6" x14ac:dyDescent="0.5">
      <c r="A86" s="3" t="str" cm="1">
        <f t="array" ref="A86:A89">completion_proportions</f>
        <v>Fully complete</v>
      </c>
      <c r="B86" s="158">
        <f>'Training programme data entry'!C28</f>
        <v>0.7</v>
      </c>
    </row>
    <row r="87" spans="1:6" x14ac:dyDescent="0.5">
      <c r="A87" s="3" t="str">
        <v>50-99% complete</v>
      </c>
      <c r="B87" s="158">
        <f>'Training programme data entry'!C29</f>
        <v>0.05</v>
      </c>
    </row>
    <row r="88" spans="1:6" x14ac:dyDescent="0.5">
      <c r="A88" s="3" t="str">
        <v>20-49% complete</v>
      </c>
      <c r="B88" s="158">
        <f>'Training programme data entry'!C30</f>
        <v>0.1</v>
      </c>
    </row>
    <row r="89" spans="1:6" x14ac:dyDescent="0.5">
      <c r="A89" s="3" t="str">
        <v>less than 20%</v>
      </c>
      <c r="B89" s="158">
        <f>'Training programme data entry'!C31</f>
        <v>0.15</v>
      </c>
    </row>
    <row r="90" spans="1:6" x14ac:dyDescent="0.5">
      <c r="B90" s="3"/>
      <c r="D90" s="162"/>
    </row>
    <row r="91" spans="1:6" ht="51.6" x14ac:dyDescent="0.5">
      <c r="A91" s="30" t="s">
        <v>379</v>
      </c>
      <c r="B91" s="162" t="s">
        <v>381</v>
      </c>
      <c r="C91" s="162" t="s">
        <v>382</v>
      </c>
      <c r="D91" s="162" t="s">
        <v>385</v>
      </c>
      <c r="E91" s="162" t="s">
        <v>389</v>
      </c>
      <c r="F91" s="162"/>
    </row>
    <row r="92" spans="1:6" x14ac:dyDescent="0.5">
      <c r="A92" s="3" t="str">
        <f t="shared" ref="A92:A99" si="4">A31</f>
        <v>None</v>
      </c>
      <c r="B92" s="159">
        <f t="shared" ref="B92:B99" si="5">SUMPRODUCT($B$78:$M$78,B31:M31)</f>
        <v>0.2</v>
      </c>
      <c r="C92" s="163"/>
      <c r="D92" s="152">
        <v>0</v>
      </c>
      <c r="E92" s="87">
        <f t="shared" ref="E92:E99" si="6">$B$27 * $B$86 * (MAX(_xlfn.XLOOKUP($B$82,$D$92:$D$105,$E$8:$E$21) - _xlfn.XLOOKUP(A92,$A$8:$A$21,$E$8:$E$21),0))</f>
        <v>175000</v>
      </c>
    </row>
    <row r="93" spans="1:6" x14ac:dyDescent="0.5">
      <c r="A93" s="3" t="str">
        <f t="shared" si="4"/>
        <v>NCEA - L1</v>
      </c>
      <c r="B93" s="159">
        <f t="shared" si="5"/>
        <v>0.2</v>
      </c>
      <c r="C93" s="163"/>
      <c r="D93" s="152" t="s">
        <v>388</v>
      </c>
      <c r="E93" s="87">
        <f t="shared" si="6"/>
        <v>131250</v>
      </c>
    </row>
    <row r="94" spans="1:6" x14ac:dyDescent="0.5">
      <c r="A94" s="3" t="str">
        <f t="shared" si="4"/>
        <v>NCEA - L2</v>
      </c>
      <c r="B94" s="159">
        <f t="shared" si="5"/>
        <v>0.2</v>
      </c>
      <c r="C94" s="163"/>
      <c r="D94" s="152" t="s">
        <v>388</v>
      </c>
      <c r="E94" s="87">
        <f t="shared" si="6"/>
        <v>87500</v>
      </c>
    </row>
    <row r="95" spans="1:6" x14ac:dyDescent="0.5">
      <c r="A95" s="3" t="str">
        <f t="shared" si="4"/>
        <v>NCEA - L3</v>
      </c>
      <c r="B95" s="159">
        <f t="shared" si="5"/>
        <v>0.2</v>
      </c>
      <c r="C95" s="163"/>
      <c r="D95" s="152" t="s">
        <v>388</v>
      </c>
      <c r="E95" s="87">
        <f t="shared" si="6"/>
        <v>43750</v>
      </c>
    </row>
    <row r="96" spans="1:6" x14ac:dyDescent="0.5">
      <c r="A96" s="3" t="str">
        <f t="shared" si="4"/>
        <v>Certificate - L2 - 60 credits</v>
      </c>
      <c r="B96" s="159">
        <f t="shared" si="5"/>
        <v>0.1</v>
      </c>
      <c r="C96" s="82">
        <v>60</v>
      </c>
      <c r="D96" s="152">
        <v>2</v>
      </c>
      <c r="E96" s="87">
        <f t="shared" si="6"/>
        <v>43750</v>
      </c>
    </row>
    <row r="97" spans="1:5" x14ac:dyDescent="0.5">
      <c r="A97" s="3" t="str">
        <f t="shared" si="4"/>
        <v>Certificate - L3 - 60 credits</v>
      </c>
      <c r="B97" s="159">
        <f t="shared" si="5"/>
        <v>0.1</v>
      </c>
      <c r="C97" s="82">
        <v>60</v>
      </c>
      <c r="D97" s="152">
        <v>3</v>
      </c>
      <c r="E97" s="87">
        <f t="shared" si="6"/>
        <v>0</v>
      </c>
    </row>
    <row r="98" spans="1:5" x14ac:dyDescent="0.5">
      <c r="A98" s="3" t="str">
        <f t="shared" si="4"/>
        <v>Apprenticeship - L4 - 240 credits</v>
      </c>
      <c r="B98" s="159">
        <f t="shared" si="5"/>
        <v>0</v>
      </c>
      <c r="C98" s="82">
        <v>240</v>
      </c>
      <c r="D98" s="152">
        <v>4</v>
      </c>
      <c r="E98" s="87">
        <f t="shared" si="6"/>
        <v>0</v>
      </c>
    </row>
    <row r="99" spans="1:5" x14ac:dyDescent="0.5">
      <c r="A99" s="3" t="str">
        <f t="shared" si="4"/>
        <v>Diploma - L5 - 120 credits</v>
      </c>
      <c r="B99" s="159">
        <f t="shared" si="5"/>
        <v>0</v>
      </c>
      <c r="C99" s="82">
        <v>120</v>
      </c>
      <c r="D99" s="152">
        <v>5</v>
      </c>
      <c r="E99" s="87">
        <f t="shared" si="6"/>
        <v>0</v>
      </c>
    </row>
    <row r="100" spans="1:5" x14ac:dyDescent="0.5">
      <c r="B100" s="159"/>
      <c r="E100" s="87"/>
    </row>
    <row r="101" spans="1:5" x14ac:dyDescent="0.5">
      <c r="A101" s="3" t="str">
        <f>A39</f>
        <v>Diploma - L6 - 120 credits</v>
      </c>
      <c r="B101" s="159">
        <f>SUMPRODUCT($B$78:$M$78,B39:M39)</f>
        <v>0</v>
      </c>
      <c r="C101" s="82">
        <v>120</v>
      </c>
      <c r="D101" s="152">
        <v>6</v>
      </c>
      <c r="E101" s="87">
        <f>$B$27 * $B$86 * (MAX(_xlfn.XLOOKUP($B$82,$D$92:$D$105,$E$8:$E$21) - _xlfn.XLOOKUP(A101,$A$8:$A$21,$E$8:$E$21),0))</f>
        <v>0</v>
      </c>
    </row>
    <row r="102" spans="1:5" x14ac:dyDescent="0.5">
      <c r="A102" s="3" t="str">
        <f>A40</f>
        <v>Degreee - L7 - 360 credits</v>
      </c>
      <c r="B102" s="159">
        <f>SUMPRODUCT($B$78:$M$78,B40:M40)</f>
        <v>0</v>
      </c>
      <c r="C102" s="82">
        <v>360</v>
      </c>
      <c r="D102" s="152">
        <v>7</v>
      </c>
      <c r="E102" s="87">
        <f>$B$27 * $B$86 * (MAX(_xlfn.XLOOKUP($B$82,$D$92:$D$105,$E$8:$E$21) - _xlfn.XLOOKUP(A102,$A$8:$A$21,$E$8:$E$21),0))</f>
        <v>0</v>
      </c>
    </row>
    <row r="103" spans="1:5" x14ac:dyDescent="0.5">
      <c r="A103" s="3" t="str">
        <f>A41</f>
        <v>Post-grad diploma - 120 credits</v>
      </c>
      <c r="B103" s="159">
        <f>SUMPRODUCT($B$78:$M$78,B41:M41)</f>
        <v>0</v>
      </c>
      <c r="C103" s="82">
        <v>120</v>
      </c>
      <c r="D103" s="152">
        <v>8</v>
      </c>
      <c r="E103" s="87">
        <f>$B$27 * $B$86 * (MAX(_xlfn.XLOOKUP($B$82,$D$92:$D$105,$E$8:$E$21) - _xlfn.XLOOKUP(A103,$A$8:$A$21,$E$8:$E$21),0))</f>
        <v>0</v>
      </c>
    </row>
    <row r="104" spans="1:5" x14ac:dyDescent="0.5">
      <c r="A104" s="3" t="str">
        <f>A42</f>
        <v>Masters degree - 240 credits</v>
      </c>
      <c r="B104" s="159">
        <f>SUMPRODUCT($B$78:$M$78,B42:M42)</f>
        <v>0</v>
      </c>
      <c r="C104" s="82">
        <v>240</v>
      </c>
      <c r="D104" s="152">
        <v>9</v>
      </c>
      <c r="E104" s="87">
        <f>$B$27 * $B$86 * (MAX(_xlfn.XLOOKUP($B$82,$D$92:$D$105,$E$8:$E$21) - _xlfn.XLOOKUP(A104,$A$8:$A$21,$E$8:$E$21),0))</f>
        <v>0</v>
      </c>
    </row>
    <row r="105" spans="1:5" x14ac:dyDescent="0.5">
      <c r="A105" s="3" t="str">
        <f>A43</f>
        <v>Doctorate - 360 credits</v>
      </c>
      <c r="B105" s="159">
        <f>SUMPRODUCT($B$78:$M$78,B43:M43)</f>
        <v>0</v>
      </c>
      <c r="C105" s="82">
        <v>360</v>
      </c>
      <c r="D105" s="152">
        <v>10</v>
      </c>
      <c r="E105" s="87">
        <f>$B$27 * $B$86 * (MAX(_xlfn.XLOOKUP($B$82,$D$92:$D$105,$E$8:$E$21) - _xlfn.XLOOKUP(A105,$A$8:$A$21,$E$8:$E$21),0))</f>
        <v>0</v>
      </c>
    </row>
    <row r="107" spans="1:5" x14ac:dyDescent="0.5">
      <c r="A107" s="30" t="s">
        <v>390</v>
      </c>
      <c r="B107" s="47">
        <f>(B83/_xlfn.XLOOKUP(B82,D92:D105,C92:C105))^E49</f>
        <v>0.73204284797281272</v>
      </c>
    </row>
    <row r="110" spans="1:5" x14ac:dyDescent="0.5">
      <c r="A110" s="3" t="s">
        <v>391</v>
      </c>
      <c r="B110" s="166">
        <f>B107 * SUMPRODUCT($B$92:$B$105,$E$92:$E$105)</f>
        <v>67256.43665750217</v>
      </c>
    </row>
    <row r="111" spans="1:5" x14ac:dyDescent="0.5">
      <c r="A111" s="3" t="s">
        <v>392</v>
      </c>
      <c r="B111" s="3" t="str">
        <f>_xlfn.XLOOKUP(B110,output_range_mid,output_range_range,0,1,1)</f>
        <v>30,000 to 100,000</v>
      </c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81F88-0909-49AD-8115-3726A05AB60C}">
  <sheetPr codeName="Sheet5">
    <tabColor theme="3"/>
  </sheetPr>
  <dimension ref="A1:BA50"/>
  <sheetViews>
    <sheetView topLeftCell="A8" zoomScale="130" zoomScaleNormal="130" workbookViewId="0">
      <selection activeCell="E22" sqref="E22"/>
    </sheetView>
  </sheetViews>
  <sheetFormatPr defaultColWidth="8.734375" defaultRowHeight="12.9" x14ac:dyDescent="0.5"/>
  <cols>
    <col min="1" max="1" width="51.5234375" style="3" customWidth="1"/>
    <col min="2" max="3" width="12.734375" style="3" customWidth="1"/>
    <col min="4" max="4" width="11.1015625" style="3" customWidth="1"/>
    <col min="5" max="6" width="12.7890625" style="3" customWidth="1"/>
    <col min="7" max="16384" width="8.734375" style="3"/>
  </cols>
  <sheetData>
    <row r="1" spans="1:53" ht="52" customHeight="1" x14ac:dyDescent="0.5">
      <c r="A1" s="107" t="s">
        <v>406</v>
      </c>
      <c r="B1" s="82"/>
      <c r="C1" s="82"/>
    </row>
    <row r="2" spans="1:53" x14ac:dyDescent="0.5">
      <c r="B2" s="82"/>
      <c r="C2" s="82"/>
    </row>
    <row r="3" spans="1:53" x14ac:dyDescent="0.5">
      <c r="A3" s="1" t="s">
        <v>402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</row>
    <row r="4" spans="1:53" x14ac:dyDescent="0.5">
      <c r="B4" s="82"/>
      <c r="C4" s="82"/>
      <c r="H4" s="74" t="s">
        <v>437</v>
      </c>
    </row>
    <row r="5" spans="1:53" ht="29.05" customHeight="1" x14ac:dyDescent="0.5">
      <c r="A5" s="177" t="s">
        <v>431</v>
      </c>
      <c r="B5" s="142" t="s">
        <v>432</v>
      </c>
      <c r="C5" s="142" t="s">
        <v>433</v>
      </c>
      <c r="E5" s="142" t="s">
        <v>436</v>
      </c>
      <c r="F5" s="142" t="s">
        <v>435</v>
      </c>
      <c r="H5" s="142">
        <v>5</v>
      </c>
      <c r="I5" s="142">
        <v>10</v>
      </c>
      <c r="J5" s="142">
        <v>20</v>
      </c>
      <c r="K5" s="142">
        <v>50</v>
      </c>
      <c r="L5" s="142">
        <v>100</v>
      </c>
      <c r="M5" s="142">
        <v>200</v>
      </c>
    </row>
    <row r="6" spans="1:53" x14ac:dyDescent="0.5">
      <c r="A6" s="3" t="str" cm="1">
        <f t="array" ref="A6:A10">delivery_modes</f>
        <v>'Classroom' learning</v>
      </c>
      <c r="B6" s="8">
        <v>40</v>
      </c>
      <c r="C6" s="87">
        <f>B6*1200</f>
        <v>48000</v>
      </c>
      <c r="E6" s="8">
        <v>20</v>
      </c>
      <c r="F6" s="8">
        <v>0.6</v>
      </c>
      <c r="H6" s="179">
        <f>$B6*($E6/H$5)^$F6</f>
        <v>91.895868399762804</v>
      </c>
      <c r="I6" s="179">
        <f t="shared" ref="I6:M6" si="0">$B6*($E6/I$5)^$F6</f>
        <v>60.62866266041592</v>
      </c>
      <c r="J6" s="179">
        <f t="shared" si="0"/>
        <v>40</v>
      </c>
      <c r="K6" s="179">
        <f t="shared" si="0"/>
        <v>23.083198494515422</v>
      </c>
      <c r="L6" s="179">
        <f t="shared" si="0"/>
        <v>15.229231509727031</v>
      </c>
      <c r="M6" s="179">
        <f t="shared" si="0"/>
        <v>10.047545726038322</v>
      </c>
    </row>
    <row r="7" spans="1:53" x14ac:dyDescent="0.5">
      <c r="A7" s="3" t="str">
        <v>Work-based learning</v>
      </c>
      <c r="B7" s="8">
        <v>6</v>
      </c>
      <c r="C7" s="87">
        <f t="shared" ref="C7:C10" si="1">B7*1200</f>
        <v>7200</v>
      </c>
      <c r="E7" s="8">
        <v>1</v>
      </c>
      <c r="F7" s="8">
        <v>0</v>
      </c>
      <c r="H7" s="179">
        <f t="shared" ref="H7:M10" si="2">$B7*($E7/H$5)^$F7</f>
        <v>6</v>
      </c>
      <c r="I7" s="179">
        <f t="shared" si="2"/>
        <v>6</v>
      </c>
      <c r="J7" s="179">
        <f t="shared" si="2"/>
        <v>6</v>
      </c>
      <c r="K7" s="179">
        <f t="shared" si="2"/>
        <v>6</v>
      </c>
      <c r="L7" s="179">
        <f t="shared" si="2"/>
        <v>6</v>
      </c>
      <c r="M7" s="179">
        <f t="shared" si="2"/>
        <v>6</v>
      </c>
    </row>
    <row r="8" spans="1:53" x14ac:dyDescent="0.5">
      <c r="A8" s="3" t="str">
        <v>One-to-one coaching</v>
      </c>
      <c r="B8" s="8">
        <v>150</v>
      </c>
      <c r="C8" s="87">
        <f t="shared" si="1"/>
        <v>180000</v>
      </c>
      <c r="E8" s="8">
        <v>1</v>
      </c>
      <c r="F8" s="8">
        <v>0</v>
      </c>
      <c r="H8" s="179">
        <f t="shared" si="2"/>
        <v>150</v>
      </c>
      <c r="I8" s="179">
        <f t="shared" si="2"/>
        <v>150</v>
      </c>
      <c r="J8" s="179">
        <f t="shared" si="2"/>
        <v>150</v>
      </c>
      <c r="K8" s="179">
        <f t="shared" si="2"/>
        <v>150</v>
      </c>
      <c r="L8" s="179">
        <f t="shared" si="2"/>
        <v>150</v>
      </c>
      <c r="M8" s="179">
        <f t="shared" si="2"/>
        <v>150</v>
      </c>
    </row>
    <row r="9" spans="1:53" x14ac:dyDescent="0.5">
      <c r="A9" s="3" t="str">
        <v>Online (synchronous)</v>
      </c>
      <c r="B9" s="8">
        <v>30</v>
      </c>
      <c r="C9" s="87">
        <f t="shared" si="1"/>
        <v>36000</v>
      </c>
      <c r="E9" s="8">
        <v>20</v>
      </c>
      <c r="F9" s="8">
        <v>0.5</v>
      </c>
      <c r="H9" s="179">
        <f t="shared" si="2"/>
        <v>60</v>
      </c>
      <c r="I9" s="179">
        <f t="shared" si="2"/>
        <v>42.426406871192853</v>
      </c>
      <c r="J9" s="179">
        <f t="shared" si="2"/>
        <v>30</v>
      </c>
      <c r="K9" s="179">
        <f t="shared" si="2"/>
        <v>18.973665961010276</v>
      </c>
      <c r="L9" s="179">
        <f t="shared" si="2"/>
        <v>13.416407864998737</v>
      </c>
      <c r="M9" s="179">
        <f t="shared" si="2"/>
        <v>9.4868329805051381</v>
      </c>
    </row>
    <row r="10" spans="1:53" x14ac:dyDescent="0.5">
      <c r="A10" s="3" t="str">
        <v>Self-directed learning</v>
      </c>
      <c r="B10" s="8">
        <v>2</v>
      </c>
      <c r="C10" s="87">
        <f t="shared" si="1"/>
        <v>2400</v>
      </c>
      <c r="E10" s="8">
        <v>1</v>
      </c>
      <c r="F10" s="8">
        <v>0</v>
      </c>
      <c r="H10" s="179">
        <f t="shared" si="2"/>
        <v>2</v>
      </c>
      <c r="I10" s="179">
        <f t="shared" si="2"/>
        <v>2</v>
      </c>
      <c r="J10" s="179">
        <f t="shared" si="2"/>
        <v>2</v>
      </c>
      <c r="K10" s="179">
        <f t="shared" si="2"/>
        <v>2</v>
      </c>
      <c r="L10" s="179">
        <f t="shared" si="2"/>
        <v>2</v>
      </c>
      <c r="M10" s="179">
        <f t="shared" si="2"/>
        <v>2</v>
      </c>
    </row>
    <row r="11" spans="1:53" x14ac:dyDescent="0.5">
      <c r="B11" s="90"/>
    </row>
    <row r="12" spans="1:53" x14ac:dyDescent="0.5">
      <c r="B12" s="90"/>
    </row>
    <row r="14" spans="1:53" ht="14.05" customHeight="1" x14ac:dyDescent="0.5">
      <c r="A14" s="56" t="s">
        <v>217</v>
      </c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</row>
    <row r="16" spans="1:53" x14ac:dyDescent="0.5">
      <c r="A16" s="74" t="s">
        <v>405</v>
      </c>
    </row>
    <row r="17" spans="1:4" x14ac:dyDescent="0.5">
      <c r="A17" s="3" t="str">
        <f>'Training programme data entry'!A9</f>
        <v>Credits</v>
      </c>
      <c r="B17" s="3">
        <f>'Training programme data entry'!C9</f>
        <v>30</v>
      </c>
    </row>
    <row r="18" spans="1:4" x14ac:dyDescent="0.5">
      <c r="A18" s="3" t="str">
        <f>'Training programme data entry'!A10</f>
        <v>Duration (Learning hours)</v>
      </c>
      <c r="B18" s="3">
        <f>'Training programme data entry'!C10</f>
        <v>300</v>
      </c>
    </row>
    <row r="19" spans="1:4" x14ac:dyDescent="0.5">
      <c r="A19" s="3" t="str">
        <f>'Training programme data entry'!A41</f>
        <v>Anticipated volume (new enrolments per year)</v>
      </c>
      <c r="B19" s="3">
        <f>'Training programme data entry'!C41</f>
        <v>100</v>
      </c>
    </row>
    <row r="20" spans="1:4" x14ac:dyDescent="0.5">
      <c r="A20" s="3" t="str">
        <f>'Training programme data entry'!A110</f>
        <v>Anticipated class size</v>
      </c>
      <c r="B20" s="3">
        <f>'Training programme data entry'!C110</f>
        <v>20</v>
      </c>
    </row>
    <row r="22" spans="1:4" x14ac:dyDescent="0.5">
      <c r="A22" s="74" t="s">
        <v>394</v>
      </c>
    </row>
    <row r="23" spans="1:4" x14ac:dyDescent="0.5">
      <c r="A23" s="3" t="str">
        <f>'Training programme data entry'!A106</f>
        <v>Costs to develop</v>
      </c>
      <c r="B23" s="87">
        <f>'Training programme data entry'!C106</f>
        <v>40000</v>
      </c>
    </row>
    <row r="24" spans="1:4" x14ac:dyDescent="0.5">
      <c r="A24" s="3" t="str">
        <f>'Training programme data entry'!A107</f>
        <v>Expected lifetime (years)</v>
      </c>
      <c r="B24" s="3">
        <f>'Training programme data entry'!C107</f>
        <v>8</v>
      </c>
    </row>
    <row r="26" spans="1:4" x14ac:dyDescent="0.5">
      <c r="A26" s="74" t="s">
        <v>555</v>
      </c>
    </row>
    <row r="27" spans="1:4" x14ac:dyDescent="0.5">
      <c r="A27" s="3" t="s">
        <v>549</v>
      </c>
      <c r="B27" s="239">
        <f>'Training programme data entry'!C113</f>
        <v>7945</v>
      </c>
    </row>
    <row r="28" spans="1:4" x14ac:dyDescent="0.5">
      <c r="A28" s="3" t="s">
        <v>548</v>
      </c>
      <c r="B28" s="239">
        <f>'Training programme data entry'!C114</f>
        <v>1035</v>
      </c>
    </row>
    <row r="30" spans="1:4" ht="25.8" x14ac:dyDescent="0.5">
      <c r="A30" s="74" t="s">
        <v>403</v>
      </c>
      <c r="B30" s="180" t="s">
        <v>432</v>
      </c>
      <c r="C30" s="180" t="s">
        <v>560</v>
      </c>
      <c r="D30" s="180" t="s">
        <v>404</v>
      </c>
    </row>
    <row r="31" spans="1:4" x14ac:dyDescent="0.5">
      <c r="A31" s="3" t="str" cm="1">
        <f t="array" ref="A31:A35">delivery_modes</f>
        <v>'Classroom' learning</v>
      </c>
      <c r="B31" s="87">
        <f>$B6*(E6/$B$20)^F6</f>
        <v>40</v>
      </c>
      <c r="C31" s="116">
        <f>'Training programme data entry'!C20</f>
        <v>0.2</v>
      </c>
      <c r="D31" s="6">
        <f>B31*C31*$B$18</f>
        <v>2400</v>
      </c>
    </row>
    <row r="32" spans="1:4" x14ac:dyDescent="0.5">
      <c r="A32" s="3" t="str">
        <v>Work-based learning</v>
      </c>
      <c r="B32" s="87">
        <f>$B7*(E7/$B$20)^F7</f>
        <v>6</v>
      </c>
      <c r="C32" s="116">
        <f>'Training programme data entry'!C21</f>
        <v>0.8</v>
      </c>
      <c r="D32" s="6">
        <f t="shared" ref="D32:D35" si="3">B32*C32*$B$18</f>
        <v>1440.0000000000002</v>
      </c>
    </row>
    <row r="33" spans="1:4" x14ac:dyDescent="0.5">
      <c r="A33" s="3" t="str">
        <v>One-to-one coaching</v>
      </c>
      <c r="B33" s="87">
        <f>$B8*(E8/$B$20)^F8</f>
        <v>150</v>
      </c>
      <c r="C33" s="116">
        <f>'Training programme data entry'!C22</f>
        <v>0</v>
      </c>
      <c r="D33" s="6">
        <f t="shared" si="3"/>
        <v>0</v>
      </c>
    </row>
    <row r="34" spans="1:4" x14ac:dyDescent="0.5">
      <c r="A34" s="3" t="str">
        <v>Online (synchronous)</v>
      </c>
      <c r="B34" s="87">
        <f>$B9*(E9/$B$20)^F9</f>
        <v>30</v>
      </c>
      <c r="C34" s="116">
        <f>'Training programme data entry'!C23</f>
        <v>0</v>
      </c>
      <c r="D34" s="6">
        <f t="shared" si="3"/>
        <v>0</v>
      </c>
    </row>
    <row r="35" spans="1:4" x14ac:dyDescent="0.5">
      <c r="A35" s="3" t="str">
        <v>Self-directed learning</v>
      </c>
      <c r="B35" s="87">
        <f>$B10*(E10/$B$20)^F10</f>
        <v>2</v>
      </c>
      <c r="C35" s="116">
        <f>'Training programme data entry'!C24</f>
        <v>0</v>
      </c>
      <c r="D35" s="6">
        <f t="shared" si="3"/>
        <v>0</v>
      </c>
    </row>
    <row r="36" spans="1:4" x14ac:dyDescent="0.5">
      <c r="B36" s="87"/>
      <c r="C36" s="116"/>
      <c r="D36" s="243">
        <f>SUM(D31:D35)</f>
        <v>3840</v>
      </c>
    </row>
    <row r="38" spans="1:4" x14ac:dyDescent="0.5">
      <c r="A38" s="3" t="s">
        <v>434</v>
      </c>
      <c r="B38" s="87">
        <f>SUMPRODUCT(B31:B35,C31:C35)</f>
        <v>12.8</v>
      </c>
    </row>
    <row r="39" spans="1:4" x14ac:dyDescent="0.5">
      <c r="A39" s="3" t="s">
        <v>413</v>
      </c>
      <c r="B39" s="87">
        <f>B18*B38</f>
        <v>3840</v>
      </c>
    </row>
    <row r="40" spans="1:4" x14ac:dyDescent="0.5">
      <c r="A40" s="3" t="s">
        <v>414</v>
      </c>
      <c r="B40" s="87">
        <f>B38*1200</f>
        <v>15360</v>
      </c>
    </row>
    <row r="42" spans="1:4" x14ac:dyDescent="0.5">
      <c r="A42" s="3" t="s">
        <v>410</v>
      </c>
      <c r="B42" s="87">
        <f>B23/(B24*B19)</f>
        <v>50</v>
      </c>
    </row>
    <row r="43" spans="1:4" x14ac:dyDescent="0.5">
      <c r="A43" s="3" t="s">
        <v>411</v>
      </c>
      <c r="B43" s="87">
        <f>B42*(120/B17)</f>
        <v>200</v>
      </c>
    </row>
    <row r="45" spans="1:4" x14ac:dyDescent="0.5">
      <c r="A45" s="3" t="s">
        <v>412</v>
      </c>
      <c r="B45" s="6">
        <f>B39+B42</f>
        <v>3890</v>
      </c>
    </row>
    <row r="46" spans="1:4" x14ac:dyDescent="0.5">
      <c r="A46" s="3" t="s">
        <v>409</v>
      </c>
      <c r="B46" s="6">
        <f>B40+B43</f>
        <v>15560</v>
      </c>
    </row>
    <row r="48" spans="1:4" x14ac:dyDescent="0.5">
      <c r="A48" s="3" t="s">
        <v>554</v>
      </c>
      <c r="B48" s="87"/>
    </row>
    <row r="49" spans="1:2" x14ac:dyDescent="0.5">
      <c r="A49" s="3" t="s">
        <v>552</v>
      </c>
      <c r="B49" s="87">
        <f>B27*B17/120 + B28</f>
        <v>3021.25</v>
      </c>
    </row>
    <row r="50" spans="1:2" x14ac:dyDescent="0.5">
      <c r="A50" s="3" t="s">
        <v>553</v>
      </c>
      <c r="B50" s="6">
        <f>B27 + B28/(B17/120)</f>
        <v>12085</v>
      </c>
    </row>
  </sheetData>
  <phoneticPr fontId="2" type="noConversion"/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CB8C9-8F01-491A-86BE-59424D20B004}">
  <sheetPr codeName="Sheet9">
    <tabColor theme="3"/>
  </sheetPr>
  <dimension ref="A1:AZ32"/>
  <sheetViews>
    <sheetView workbookViewId="0">
      <selection activeCell="D50" sqref="D50"/>
    </sheetView>
  </sheetViews>
  <sheetFormatPr defaultColWidth="8.734375" defaultRowHeight="12.9" x14ac:dyDescent="0.5"/>
  <cols>
    <col min="1" max="2" width="30" style="3" customWidth="1"/>
    <col min="3" max="3" width="8.734375" style="3"/>
    <col min="4" max="4" width="118.89453125" style="3" customWidth="1"/>
    <col min="5" max="16384" width="8.734375" style="3"/>
  </cols>
  <sheetData>
    <row r="1" spans="1:52" ht="76" customHeight="1" x14ac:dyDescent="0.5">
      <c r="A1" s="251" t="s">
        <v>430</v>
      </c>
      <c r="B1" s="251"/>
    </row>
    <row r="3" spans="1:52" x14ac:dyDescent="0.5">
      <c r="A3" s="1" t="s">
        <v>421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</row>
    <row r="5" spans="1:52" ht="27" customHeight="1" x14ac:dyDescent="0.5">
      <c r="A5" s="90">
        <v>8</v>
      </c>
    </row>
    <row r="7" spans="1:52" ht="32.049999999999997" customHeight="1" x14ac:dyDescent="0.5">
      <c r="A7" s="175" t="str">
        <f>'Business profitability model'!A527</f>
        <v>Total impact on industry profits - range ($)</v>
      </c>
      <c r="B7" s="175" t="str">
        <f>'Lifetime earnings model'!A111</f>
        <v>Average impact on learner lifetime earnings - range ($)</v>
      </c>
      <c r="D7" s="175" t="s">
        <v>429</v>
      </c>
    </row>
    <row r="9" spans="1:52" x14ac:dyDescent="0.5">
      <c r="A9" s="176" t="str">
        <f>Lists!D145</f>
        <v>100 to 300</v>
      </c>
      <c r="B9" s="176" t="str" cm="1">
        <f t="array" ref="B9">INDEX(output_range_range,$A$5 + ROW() - ROW($B$8))</f>
        <v>100 to 300</v>
      </c>
    </row>
    <row r="10" spans="1:52" x14ac:dyDescent="0.5">
      <c r="A10" s="176" t="str">
        <f>Lists!D146</f>
        <v>200 to 500</v>
      </c>
      <c r="B10" s="176" t="str" cm="1">
        <f t="array" ref="B10">INDEX(output_range_range,$A$5 + ROW() - ROW($B$8))</f>
        <v>200 to 500</v>
      </c>
    </row>
    <row r="11" spans="1:52" x14ac:dyDescent="0.5">
      <c r="A11" s="176" t="str">
        <f>Lists!D147</f>
        <v>300 to 1,000</v>
      </c>
      <c r="B11" s="176" t="str" cm="1">
        <f t="array" ref="B11">INDEX(output_range_range,$A$5 + ROW() - ROW($B$8))</f>
        <v>300 to 1,000</v>
      </c>
    </row>
    <row r="12" spans="1:52" x14ac:dyDescent="0.5">
      <c r="A12" s="11" t="str">
        <f>Lists!D148</f>
        <v>500 to 2,000</v>
      </c>
      <c r="B12" s="11" t="str" cm="1">
        <f t="array" ref="B12">INDEX(output_range_range,$A$5 + ROW() - ROW($B$8))</f>
        <v>500 to 2,000</v>
      </c>
      <c r="D12" s="3" t="str">
        <f>"It would be equally valuable to increase industry profitability by " &amp; A12 &amp; " as it would to increase learner lifetime earnings by " &amp;B12</f>
        <v>It would be equally valuable to increase industry profitability by 500 to 2,000 as it would to increase learner lifetime earnings by 500 to 2,000</v>
      </c>
    </row>
    <row r="13" spans="1:52" x14ac:dyDescent="0.5">
      <c r="A13" s="176" t="str">
        <f>Lists!D149</f>
        <v>1,000 to 3,000</v>
      </c>
      <c r="B13" s="176" t="str" cm="1">
        <f t="array" ref="B13">INDEX(output_range_range,$A$5 + ROW() - ROW($B$8))</f>
        <v>1,000 to 3,000</v>
      </c>
    </row>
    <row r="14" spans="1:52" x14ac:dyDescent="0.5">
      <c r="A14" s="176" t="str">
        <f>Lists!D150</f>
        <v>2,000 to 5,000</v>
      </c>
      <c r="B14" s="176" t="str" cm="1">
        <f t="array" ref="B14">INDEX(output_range_range,$A$5 + ROW() - ROW($B$8))</f>
        <v>2,000 to 5,000</v>
      </c>
    </row>
    <row r="15" spans="1:52" x14ac:dyDescent="0.5">
      <c r="A15" s="176" t="str">
        <f>Lists!D151</f>
        <v>3,000 to 10,000</v>
      </c>
      <c r="B15" s="176" t="str" cm="1">
        <f t="array" ref="B15">INDEX(output_range_range,$A$5 + ROW() - ROW($B$8))</f>
        <v>3,000 to 10,000</v>
      </c>
    </row>
    <row r="16" spans="1:52" x14ac:dyDescent="0.5">
      <c r="A16" s="11" t="str">
        <f>Lists!D152</f>
        <v>5,000 to 20,000</v>
      </c>
      <c r="B16" s="11" t="str" cm="1">
        <f t="array" ref="B16">INDEX(output_range_range,$A$5 + ROW() - ROW($B$8))</f>
        <v>5,000 to 20,000</v>
      </c>
      <c r="D16" s="3" t="str">
        <f>"It would be equally valuable to increase industry profitability by " &amp; A16 &amp; " as it would to increase learner lifetime earnings by " &amp;B16</f>
        <v>It would be equally valuable to increase industry profitability by 5,000 to 20,000 as it would to increase learner lifetime earnings by 5,000 to 20,000</v>
      </c>
    </row>
    <row r="17" spans="1:4" x14ac:dyDescent="0.5">
      <c r="A17" s="176" t="str">
        <f>Lists!D153</f>
        <v>10,000 to 30,000</v>
      </c>
      <c r="B17" s="176" t="str" cm="1">
        <f t="array" ref="B17">INDEX(output_range_range,$A$5 + ROW() - ROW($B$8))</f>
        <v>10,000 to 30,000</v>
      </c>
    </row>
    <row r="18" spans="1:4" x14ac:dyDescent="0.5">
      <c r="A18" s="176" t="str">
        <f>Lists!D154</f>
        <v>20,000 to 50,000</v>
      </c>
      <c r="B18" s="176" t="str" cm="1">
        <f t="array" ref="B18">INDEX(output_range_range,$A$5 + ROW() - ROW($B$8))</f>
        <v>20,000 to 50,000</v>
      </c>
    </row>
    <row r="19" spans="1:4" x14ac:dyDescent="0.5">
      <c r="A19" s="176" t="str">
        <f>Lists!D155</f>
        <v>30,000 to 100,000</v>
      </c>
      <c r="B19" s="176" t="str" cm="1">
        <f t="array" ref="B19">INDEX(output_range_range,$A$5 + ROW() - ROW($B$8))</f>
        <v>30,000 to 100,000</v>
      </c>
    </row>
    <row r="20" spans="1:4" x14ac:dyDescent="0.5">
      <c r="A20" s="11" t="str">
        <f>Lists!D156</f>
        <v>50,000 to 200,000</v>
      </c>
      <c r="B20" s="11" t="str" cm="1">
        <f t="array" ref="B20">INDEX(output_range_range,$A$5 + ROW() - ROW($B$8))</f>
        <v>50,000 to 200,000</v>
      </c>
      <c r="D20" s="3" t="str">
        <f>"It would be equally valuable to increase industry profitability by " &amp; A20 &amp; " as it would to increase learner lifetime earnings by " &amp;B20</f>
        <v>It would be equally valuable to increase industry profitability by 50,000 to 200,000 as it would to increase learner lifetime earnings by 50,000 to 200,000</v>
      </c>
    </row>
    <row r="21" spans="1:4" x14ac:dyDescent="0.5">
      <c r="A21" s="176" t="str">
        <f>Lists!D157</f>
        <v>100,000 to 300,000</v>
      </c>
      <c r="B21" s="176" t="str" cm="1">
        <f t="array" ref="B21">INDEX(output_range_range,$A$5 + ROW() - ROW($B$8))</f>
        <v>100,000 to 300,000</v>
      </c>
    </row>
    <row r="22" spans="1:4" x14ac:dyDescent="0.5">
      <c r="A22" s="176" t="str">
        <f>Lists!D158</f>
        <v>200,000 to 500,000</v>
      </c>
      <c r="B22" s="176" t="str" cm="1">
        <f t="array" ref="B22">INDEX(output_range_range,$A$5 + ROW() - ROW($B$8))</f>
        <v>200,000 to 500,000</v>
      </c>
    </row>
    <row r="23" spans="1:4" x14ac:dyDescent="0.5">
      <c r="A23" s="176" t="str">
        <f>Lists!D159</f>
        <v>300,000 to 1,000,000</v>
      </c>
      <c r="B23" s="176" t="str" cm="1">
        <f t="array" ref="B23">INDEX(output_range_range,$A$5 + ROW() - ROW($B$8))</f>
        <v>300,000 to 1,000,000</v>
      </c>
    </row>
    <row r="24" spans="1:4" x14ac:dyDescent="0.5">
      <c r="A24" s="176" t="str">
        <f>Lists!D160</f>
        <v>500,000 to 2,000,000</v>
      </c>
      <c r="B24" s="176" t="str" cm="1">
        <f t="array" ref="B24">INDEX(output_range_range,$A$5 + ROW() - ROW($B$8))</f>
        <v>500,000 to 2,000,000</v>
      </c>
    </row>
    <row r="25" spans="1:4" x14ac:dyDescent="0.5">
      <c r="A25" s="176" t="str">
        <f>Lists!D161</f>
        <v>1,000,000 to 3,000,000</v>
      </c>
      <c r="B25" s="176" t="str" cm="1">
        <f t="array" ref="B25">INDEX(output_range_range,$A$5 + ROW() - ROW($B$8))</f>
        <v>1,000,000 to 3,000,000</v>
      </c>
    </row>
    <row r="26" spans="1:4" x14ac:dyDescent="0.5">
      <c r="A26" s="176" t="str">
        <f>Lists!D162</f>
        <v>2,000,000 to 5,000,000</v>
      </c>
      <c r="B26" s="176" t="str" cm="1">
        <f t="array" ref="B26">INDEX(output_range_range,$A$5 + ROW() - ROW($B$8))</f>
        <v>2,000,000 to 5,000,000</v>
      </c>
    </row>
    <row r="27" spans="1:4" x14ac:dyDescent="0.5">
      <c r="A27" s="176" t="str">
        <f>Lists!D163</f>
        <v>3,000,000 to 10,000,000</v>
      </c>
      <c r="B27" s="176" t="str" cm="1">
        <f t="array" ref="B27">INDEX(output_range_range,$A$5 + ROW() - ROW($B$8))</f>
        <v>3,000,000 to 10,000,000</v>
      </c>
    </row>
    <row r="30" spans="1:4" x14ac:dyDescent="0.5">
      <c r="A30" s="204" t="s">
        <v>468</v>
      </c>
      <c r="B30" s="204"/>
    </row>
    <row r="32" spans="1:4" x14ac:dyDescent="0.5">
      <c r="A32" s="203">
        <v>1</v>
      </c>
      <c r="B32" s="118">
        <f>_xlfn.XLOOKUP(B16,output_range_range,output_range_mid)/_xlfn.XLOOKUP(A16,output_range_range,output_range_mid)</f>
        <v>1</v>
      </c>
    </row>
  </sheetData>
  <mergeCells count="1">
    <mergeCell ref="A1:B1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3" name="Spinner 2">
              <controlPr defaultSize="0" autoPict="0">
                <anchor moveWithCells="1" sizeWithCells="1">
                  <from>
                    <xdr:col>1</xdr:col>
                    <xdr:colOff>0</xdr:colOff>
                    <xdr:row>4</xdr:row>
                    <xdr:rowOff>0</xdr:rowOff>
                  </from>
                  <to>
                    <xdr:col>2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scriptIds xmlns="http://schemas.microsoft.com/office/extensibility/maker/v1.0" id="script-ids-node-id">
  <scriptId id="ms-officescript%3A%2F%2Fonedrive_business_itemlink%2F01JPKVTYDSGOD4PCTE4JEK73K7C5OG32GH:ms-officescript%3A%2F%2Fonedrive_business_sharinglink%2Fu!aHR0cHM6Ly9zY2FybGF0dGktbXkuc2hhcmVwb2ludC5jb20vOnU6L2cvcGVyc29uYWwvYWRhbV9iYXJrZXJfc2NhcmxhdHRpX2NvX256L0VYSXpoOGVLWk9KSXItMWZGMXh0Nk1jQmxxU3gtWElJWERQVGVwTTd4aWdQQWc"/>
</scriptId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19fcb21-85c8-43a4-8615-a8ec4d816e10">
      <Terms xmlns="http://schemas.microsoft.com/office/infopath/2007/PartnerControls"/>
    </lcf76f155ced4ddcb4097134ff3c332f>
    <TaxCatchAll xmlns="c6900db2-4b6f-4860-ada6-b2c2ce89056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5D90A0DC0B784FA7AEAA2C835266B8" ma:contentTypeVersion="19" ma:contentTypeDescription="Create a new document." ma:contentTypeScope="" ma:versionID="db4e566837c6409e726bdad364a3be0a">
  <xsd:schema xmlns:xsd="http://www.w3.org/2001/XMLSchema" xmlns:xs="http://www.w3.org/2001/XMLSchema" xmlns:p="http://schemas.microsoft.com/office/2006/metadata/properties" xmlns:ns2="f19fcb21-85c8-43a4-8615-a8ec4d816e10" xmlns:ns3="c6900db2-4b6f-4860-ada6-b2c2ce890565" targetNamespace="http://schemas.microsoft.com/office/2006/metadata/properties" ma:root="true" ma:fieldsID="47eda92396a6e96db4a8dc635c1f2ef8" ns2:_="" ns3:_="">
    <xsd:import namespace="f19fcb21-85c8-43a4-8615-a8ec4d816e10"/>
    <xsd:import namespace="c6900db2-4b6f-4860-ada6-b2c2ce8905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9fcb21-85c8-43a4-8615-a8ec4d816e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384924a-5186-4918-887b-2ef65a5b727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900db2-4b6f-4860-ada6-b2c2ce89056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9c71b13-a987-4477-bbfd-3810f1d40dfd}" ma:internalName="TaxCatchAll" ma:showField="CatchAllData" ma:web="c6900db2-4b6f-4860-ada6-b2c2ce8905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198261-FAD2-4AA3-AE0C-431E770B3CB7}">
  <ds:schemaRefs>
    <ds:schemaRef ds:uri="http://schemas.microsoft.com/office/extensibility/maker/v1.0"/>
  </ds:schemaRefs>
</ds:datastoreItem>
</file>

<file path=customXml/itemProps2.xml><?xml version="1.0" encoding="utf-8"?>
<ds:datastoreItem xmlns:ds="http://schemas.openxmlformats.org/officeDocument/2006/customXml" ds:itemID="{8848F068-64E6-498E-AEA0-F0D943154C32}">
  <ds:schemaRefs>
    <ds:schemaRef ds:uri="http://purl.org/dc/terms/"/>
    <ds:schemaRef ds:uri="http://purl.org/dc/elements/1.1/"/>
    <ds:schemaRef ds:uri="http://schemas.microsoft.com/office/2006/metadata/properties"/>
    <ds:schemaRef ds:uri="f19fcb21-85c8-43a4-8615-a8ec4d816e10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c6900db2-4b6f-4860-ada6-b2c2ce890565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8C2A2BB-75B0-4E57-B194-68764BD6256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655FB7C-39C8-4CAE-88EA-EE3FA95EE7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9fcb21-85c8-43a4-8615-a8ec4d816e10"/>
    <ds:schemaRef ds:uri="c6900db2-4b6f-4860-ada6-b2c2ce8905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24</vt:i4>
      </vt:variant>
    </vt:vector>
  </HeadingPairs>
  <TitlesOfParts>
    <vt:vector size="36" baseType="lpstr">
      <vt:lpstr>Contents</vt:lpstr>
      <vt:lpstr>Lists</vt:lpstr>
      <vt:lpstr>Improvements</vt:lpstr>
      <vt:lpstr>Training programme data entry</vt:lpstr>
      <vt:lpstr>Training programme data table</vt:lpstr>
      <vt:lpstr>Business profitability model</vt:lpstr>
      <vt:lpstr>Lifetime earnings model</vt:lpstr>
      <vt:lpstr>Delivery cost model</vt:lpstr>
      <vt:lpstr>Outcome weighting</vt:lpstr>
      <vt:lpstr>Dashboard chart data</vt:lpstr>
      <vt:lpstr>Training programme dashboard</vt:lpstr>
      <vt:lpstr>Investment portfolio</vt:lpstr>
      <vt:lpstr>capability_areas</vt:lpstr>
      <vt:lpstr>completion_proportions</vt:lpstr>
      <vt:lpstr>credit_ratio</vt:lpstr>
      <vt:lpstr>delivery_modes</vt:lpstr>
      <vt:lpstr>delivery_quality</vt:lpstr>
      <vt:lpstr>duration_exponent</vt:lpstr>
      <vt:lpstr>ID_of_data_to_update</vt:lpstr>
      <vt:lpstr>industries</vt:lpstr>
      <vt:lpstr>industry_experience</vt:lpstr>
      <vt:lpstr>multiplier_for_training</vt:lpstr>
      <vt:lpstr>nzqf_levels</vt:lpstr>
      <vt:lpstr>NZSCED_code</vt:lpstr>
      <vt:lpstr>NZSCED_label</vt:lpstr>
      <vt:lpstr>output_range_mid</vt:lpstr>
      <vt:lpstr>output_range_range</vt:lpstr>
      <vt:lpstr>prior_training</vt:lpstr>
      <vt:lpstr>Programme_type</vt:lpstr>
      <vt:lpstr>reference_training_programme_duration</vt:lpstr>
      <vt:lpstr>roles</vt:lpstr>
      <vt:lpstr>rows_to_paste</vt:lpstr>
      <vt:lpstr>sd_of_innate_ability</vt:lpstr>
      <vt:lpstr>training_programme_data_table</vt:lpstr>
      <vt:lpstr>training_programme_list</vt:lpstr>
      <vt:lpstr>updates_to_copy_to_database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 Barker</dc:creator>
  <cp:keywords/>
  <dc:description/>
  <cp:lastModifiedBy>Doug Neilson</cp:lastModifiedBy>
  <cp:revision/>
  <dcterms:created xsi:type="dcterms:W3CDTF">2025-08-17T02:51:25Z</dcterms:created>
  <dcterms:modified xsi:type="dcterms:W3CDTF">2025-11-06T04:28:50Z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0x010100C65D90A0DC0B784FA7AEAA2C835266B8</vt:lpwstr>
  </property>
  <property fmtid="{D5CDD505-2E9C-101B-9397-08002B2CF9AE}" pid="3" name="MediaServiceImageTags">
    <vt:lpwstr/>
  </property>
</Properties>
</file>